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acronumgmbh.sharepoint.com/sites/AcronumWorkspace/Managed Services/Proxmox Cloud/"/>
    </mc:Choice>
  </mc:AlternateContent>
  <xr:revisionPtr revIDLastSave="682" documentId="13_ncr:1_{1F56EF11-345B-48C1-B795-B0EEE6177FF1}" xr6:coauthVersionLast="47" xr6:coauthVersionMax="47" xr10:uidLastSave="{CA844D28-0D88-4A48-8BBA-77EC76F68359}"/>
  <workbookProtection workbookAlgorithmName="SHA-512" workbookHashValue="K0YJMp40RhgnBTnda8Eu33pTHL7ZHzk4gv3OkNfdhClW5viOTzHSpaN3ZHSwhTDc7ZUdtRwyKmOey6ZNWlXUhA==" workbookSaltValue="wQu1EOi5tw+Mlj7HFK0aKw==" workbookSpinCount="100000" lockStructure="1"/>
  <bookViews>
    <workbookView xWindow="26115" yWindow="30" windowWidth="25800" windowHeight="20985" tabRatio="976" activeTab="3" xr2:uid="{25B17CE5-0806-4BAF-B2D2-07A584EA0CA9}"/>
  </bookViews>
  <sheets>
    <sheet name="Gesamtkosten" sheetId="4" r:id="rId1"/>
    <sheet name="SLA Matrix" sheetId="12" r:id="rId2"/>
    <sheet name="Add-Ons" sheetId="13" r:id="rId3"/>
    <sheet name="Server1" sheetId="2" r:id="rId4"/>
    <sheet name="Server2" sheetId="25" r:id="rId5"/>
    <sheet name="Server3" sheetId="24" r:id="rId6"/>
    <sheet name="Server4" sheetId="26" r:id="rId7"/>
    <sheet name="Server5" sheetId="27" r:id="rId8"/>
    <sheet name="Server6" sheetId="28" r:id="rId9"/>
    <sheet name="Server7" sheetId="29" r:id="rId10"/>
    <sheet name="Server8" sheetId="30" r:id="rId11"/>
    <sheet name="Server9" sheetId="31" r:id="rId12"/>
    <sheet name="Server10" sheetId="32" r:id="rId13"/>
    <sheet name="Zwischen Rechnung Setupkosten" sheetId="23" state="hidden" r:id="rId14"/>
    <sheet name="Preise" sheetId="1" state="hidden" r:id="rId15"/>
    <sheet name="interne Kalkulation" sheetId="7" state="hidden" r:id="rId16"/>
  </sheets>
  <definedNames>
    <definedName name="CPU">Preise!$A$15</definedName>
    <definedName name="CPUs" localSheetId="12">Server10!$B$7</definedName>
    <definedName name="CPUs" localSheetId="4">Server2!$B$7</definedName>
    <definedName name="CPUs" localSheetId="5">Server3!$B$7</definedName>
    <definedName name="CPUs" localSheetId="6">Server4!$B$7</definedName>
    <definedName name="CPUs" localSheetId="7">Server5!$B$7</definedName>
    <definedName name="CPUs" localSheetId="8">Server6!$B$7</definedName>
    <definedName name="CPUs" localSheetId="9">Server7!$B$7</definedName>
    <definedName name="CPUs" localSheetId="10">Server8!$B$7</definedName>
    <definedName name="CPUs" localSheetId="11">Server9!$B$7</definedName>
    <definedName name="CPUs">Server1!$B$7</definedName>
    <definedName name="eee" localSheetId="12">Server10!$B$7</definedName>
    <definedName name="eee" localSheetId="4">Server2!$B$7</definedName>
    <definedName name="eee" localSheetId="5">Server3!$B$7</definedName>
    <definedName name="eee" localSheetId="6">Server4!$B$7</definedName>
    <definedName name="eee" localSheetId="7">Server5!$B$7</definedName>
    <definedName name="eee" localSheetId="8">Server6!$B$7</definedName>
    <definedName name="eee" localSheetId="9">Server7!$B$7</definedName>
    <definedName name="eee" localSheetId="10">Server8!$B$7</definedName>
    <definedName name="eee" localSheetId="11">Server9!$B$7</definedName>
    <definedName name="eee">Server1!$B$7</definedName>
    <definedName name="RAM">Preise!$A$14</definedName>
    <definedName name="stdCPUs">'interne Kalkulation'!$B$12</definedName>
    <definedName name="stdRAM">'interne Kalkulation'!$B$13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3" l="1"/>
  <c r="F9" i="12"/>
  <c r="F10" i="12"/>
  <c r="F11" i="12"/>
  <c r="F12" i="12"/>
  <c r="F13" i="12"/>
  <c r="F14" i="12"/>
  <c r="F15" i="12"/>
  <c r="E9" i="12"/>
  <c r="E10" i="12"/>
  <c r="E11" i="12"/>
  <c r="E12" i="12"/>
  <c r="E13" i="12"/>
  <c r="E14" i="12"/>
  <c r="E15" i="12"/>
  <c r="C37" i="4"/>
  <c r="C36" i="4"/>
  <c r="C35" i="4"/>
  <c r="A14" i="4"/>
  <c r="A13" i="4"/>
  <c r="A12" i="4"/>
  <c r="A11" i="4"/>
  <c r="A10" i="4"/>
  <c r="A9" i="4"/>
  <c r="A8" i="4"/>
  <c r="A7" i="4"/>
  <c r="A6" i="4"/>
  <c r="C18" i="32" l="1"/>
  <c r="C17" i="32"/>
  <c r="C15" i="32"/>
  <c r="C12" i="32"/>
  <c r="C9" i="32"/>
  <c r="C11" i="32" s="1"/>
  <c r="C8" i="32"/>
  <c r="C7" i="32"/>
  <c r="C18" i="31"/>
  <c r="C17" i="31"/>
  <c r="C15" i="31"/>
  <c r="C12" i="31"/>
  <c r="C9" i="31"/>
  <c r="C8" i="31"/>
  <c r="C7" i="31"/>
  <c r="C18" i="30"/>
  <c r="C17" i="30"/>
  <c r="C15" i="30"/>
  <c r="C12" i="30"/>
  <c r="C9" i="30"/>
  <c r="C8" i="30"/>
  <c r="C7" i="30"/>
  <c r="C18" i="29"/>
  <c r="C17" i="29"/>
  <c r="C15" i="29"/>
  <c r="C12" i="29"/>
  <c r="C9" i="29"/>
  <c r="C16" i="29" s="1"/>
  <c r="C8" i="29"/>
  <c r="C7" i="29"/>
  <c r="C18" i="28"/>
  <c r="C17" i="28"/>
  <c r="C15" i="28"/>
  <c r="C12" i="28"/>
  <c r="C9" i="28"/>
  <c r="C11" i="28" s="1"/>
  <c r="C8" i="28"/>
  <c r="C7" i="28"/>
  <c r="C18" i="27"/>
  <c r="C17" i="27"/>
  <c r="C15" i="27"/>
  <c r="C12" i="27"/>
  <c r="C9" i="27"/>
  <c r="C16" i="27" s="1"/>
  <c r="C8" i="27"/>
  <c r="C7" i="27"/>
  <c r="C18" i="26"/>
  <c r="C17" i="26"/>
  <c r="C15" i="26"/>
  <c r="C12" i="26"/>
  <c r="C9" i="26"/>
  <c r="C10" i="26" s="1"/>
  <c r="C8" i="26"/>
  <c r="C7" i="26"/>
  <c r="C18" i="25"/>
  <c r="C17" i="25"/>
  <c r="C15" i="25"/>
  <c r="C12" i="25"/>
  <c r="C9" i="25"/>
  <c r="C8" i="25"/>
  <c r="C7" i="25"/>
  <c r="C18" i="24"/>
  <c r="C17" i="24"/>
  <c r="C15" i="24"/>
  <c r="C12" i="24"/>
  <c r="C9" i="24"/>
  <c r="C8" i="24"/>
  <c r="C7" i="24"/>
  <c r="C7" i="2"/>
  <c r="C8" i="2"/>
  <c r="C11" i="1"/>
  <c r="C12" i="1"/>
  <c r="C19" i="4"/>
  <c r="C18" i="4"/>
  <c r="C16" i="4"/>
  <c r="C15" i="4"/>
  <c r="C13" i="32" l="1"/>
  <c r="C14" i="32"/>
  <c r="C16" i="32"/>
  <c r="C10" i="32"/>
  <c r="C10" i="31"/>
  <c r="C13" i="31"/>
  <c r="C14" i="31"/>
  <c r="C16" i="31"/>
  <c r="C11" i="31"/>
  <c r="C10" i="30"/>
  <c r="C13" i="30"/>
  <c r="C16" i="30"/>
  <c r="C11" i="30"/>
  <c r="C14" i="30"/>
  <c r="C10" i="29"/>
  <c r="C11" i="29"/>
  <c r="C14" i="29"/>
  <c r="C13" i="29"/>
  <c r="C14" i="28"/>
  <c r="C13" i="28"/>
  <c r="C16" i="28"/>
  <c r="C10" i="28"/>
  <c r="C19" i="28" s="1"/>
  <c r="C10" i="27"/>
  <c r="C11" i="27"/>
  <c r="C13" i="27"/>
  <c r="C14" i="27"/>
  <c r="C11" i="26"/>
  <c r="C13" i="26"/>
  <c r="C14" i="26"/>
  <c r="C16" i="26"/>
  <c r="C13" i="25"/>
  <c r="C14" i="25"/>
  <c r="C10" i="25"/>
  <c r="C11" i="25"/>
  <c r="C16" i="25"/>
  <c r="C16" i="24"/>
  <c r="C10" i="24"/>
  <c r="C11" i="24"/>
  <c r="C13" i="24"/>
  <c r="C14" i="24"/>
  <c r="C9" i="2"/>
  <c r="C15" i="2" s="1"/>
  <c r="C11" i="23"/>
  <c r="E11" i="23" s="1"/>
  <c r="C50" i="1"/>
  <c r="B50" i="1" s="1"/>
  <c r="D12" i="23" s="1"/>
  <c r="D10" i="23"/>
  <c r="D5" i="23"/>
  <c r="D4" i="23"/>
  <c r="C9" i="23"/>
  <c r="E9" i="23" s="1"/>
  <c r="C10" i="23"/>
  <c r="C12" i="23"/>
  <c r="C7" i="23"/>
  <c r="E7" i="23" s="1"/>
  <c r="C6" i="23"/>
  <c r="C5" i="23"/>
  <c r="C4" i="23"/>
  <c r="E4" i="23" s="1"/>
  <c r="C42" i="1"/>
  <c r="B42" i="1" s="1"/>
  <c r="C43" i="1"/>
  <c r="B43" i="1" s="1"/>
  <c r="C44" i="1"/>
  <c r="B44" i="1" s="1"/>
  <c r="D6" i="23" s="1"/>
  <c r="C45" i="1"/>
  <c r="B45" i="1" s="1"/>
  <c r="D7" i="23" s="1"/>
  <c r="C46" i="1"/>
  <c r="B46" i="1" s="1"/>
  <c r="D24" i="23" s="1"/>
  <c r="C47" i="1"/>
  <c r="B47" i="1" s="1"/>
  <c r="D9" i="23" s="1"/>
  <c r="C48" i="1"/>
  <c r="B48" i="1" s="1"/>
  <c r="C49" i="1"/>
  <c r="B49" i="1" s="1"/>
  <c r="E8" i="13"/>
  <c r="D8" i="13"/>
  <c r="E13" i="13"/>
  <c r="E12" i="13"/>
  <c r="E11" i="13"/>
  <c r="E10" i="13"/>
  <c r="E9" i="13"/>
  <c r="E7" i="13"/>
  <c r="E6" i="13"/>
  <c r="E5" i="13"/>
  <c r="E4" i="13"/>
  <c r="E14" i="13"/>
  <c r="E3" i="13"/>
  <c r="C38" i="1"/>
  <c r="C9" i="13" s="1"/>
  <c r="C39" i="1"/>
  <c r="B39" i="1" s="1"/>
  <c r="C12" i="13" s="1"/>
  <c r="C40" i="1"/>
  <c r="B40" i="1" s="1"/>
  <c r="C13" i="13" s="1"/>
  <c r="C41" i="1"/>
  <c r="B41" i="1" s="1"/>
  <c r="C14" i="13" s="1"/>
  <c r="C34" i="4"/>
  <c r="C37" i="1"/>
  <c r="C10" i="13" s="1"/>
  <c r="C36" i="1"/>
  <c r="E7" i="12"/>
  <c r="E8" i="12"/>
  <c r="E6" i="12"/>
  <c r="C20" i="28" l="1"/>
  <c r="E19" i="23" s="1"/>
  <c r="C10" i="4"/>
  <c r="D11" i="12" s="1"/>
  <c r="C19" i="32"/>
  <c r="C14" i="2"/>
  <c r="C27" i="4"/>
  <c r="C19" i="30"/>
  <c r="C19" i="31"/>
  <c r="C19" i="27"/>
  <c r="C19" i="29"/>
  <c r="C19" i="26"/>
  <c r="C19" i="25"/>
  <c r="C19" i="24"/>
  <c r="C11" i="2"/>
  <c r="C10" i="2"/>
  <c r="C16" i="2"/>
  <c r="C38" i="4" s="1"/>
  <c r="C12" i="2"/>
  <c r="E10" i="23"/>
  <c r="E12" i="23"/>
  <c r="E6" i="23"/>
  <c r="E5" i="23"/>
  <c r="C20" i="25" l="1"/>
  <c r="E15" i="23" s="1"/>
  <c r="C6" i="4"/>
  <c r="D7" i="12" s="1"/>
  <c r="C20" i="29"/>
  <c r="E20" i="23" s="1"/>
  <c r="C11" i="4"/>
  <c r="D12" i="12" s="1"/>
  <c r="C20" i="27"/>
  <c r="E18" i="23" s="1"/>
  <c r="C9" i="4"/>
  <c r="D10" i="12" s="1"/>
  <c r="C20" i="30"/>
  <c r="E21" i="23" s="1"/>
  <c r="C12" i="4"/>
  <c r="D13" i="12" s="1"/>
  <c r="C20" i="32"/>
  <c r="E23" i="23" s="1"/>
  <c r="C14" i="4"/>
  <c r="D15" i="12" s="1"/>
  <c r="C20" i="26"/>
  <c r="E17" i="23" s="1"/>
  <c r="C8" i="4"/>
  <c r="D9" i="12" s="1"/>
  <c r="C20" i="24"/>
  <c r="E16" i="23" s="1"/>
  <c r="C7" i="4"/>
  <c r="D8" i="12" s="1"/>
  <c r="C20" i="31"/>
  <c r="E22" i="23" s="1"/>
  <c r="C13" i="4"/>
  <c r="D14" i="12" s="1"/>
  <c r="C28" i="4"/>
  <c r="C5" i="7"/>
  <c r="C4" i="7"/>
  <c r="E4" i="7" s="1"/>
  <c r="B18" i="7" s="1"/>
  <c r="E16" i="13"/>
  <c r="E13" i="23" s="1"/>
  <c r="D9" i="13"/>
  <c r="D10" i="13"/>
  <c r="D12" i="13"/>
  <c r="D13" i="13"/>
  <c r="D14" i="13"/>
  <c r="D15" i="13"/>
  <c r="C25" i="1"/>
  <c r="B25" i="1" s="1"/>
  <c r="C11" i="13" s="1"/>
  <c r="D11" i="13" s="1"/>
  <c r="C26" i="1"/>
  <c r="C27" i="1"/>
  <c r="C7" i="13" s="1"/>
  <c r="D7" i="13" s="1"/>
  <c r="C28" i="1"/>
  <c r="B28" i="1" s="1"/>
  <c r="C29" i="1"/>
  <c r="B29" i="1" s="1"/>
  <c r="C30" i="1"/>
  <c r="C3" i="13" s="1"/>
  <c r="D3" i="13" s="1"/>
  <c r="C31" i="1"/>
  <c r="C4" i="13" s="1"/>
  <c r="D4" i="13" s="1"/>
  <c r="C32" i="1"/>
  <c r="C5" i="13" s="1"/>
  <c r="D5" i="13" s="1"/>
  <c r="C33" i="1"/>
  <c r="B33" i="1" s="1"/>
  <c r="C6" i="13" s="1"/>
  <c r="D6" i="13" s="1"/>
  <c r="C34" i="1"/>
  <c r="B34" i="1" s="1"/>
  <c r="C35" i="1"/>
  <c r="B35" i="1" s="1"/>
  <c r="F8" i="12"/>
  <c r="F7" i="12"/>
  <c r="A6" i="12"/>
  <c r="F6" i="12" s="1"/>
  <c r="A5" i="4"/>
  <c r="B5" i="7"/>
  <c r="C9" i="1"/>
  <c r="C10" i="1"/>
  <c r="B10" i="1" s="1"/>
  <c r="C13" i="1"/>
  <c r="C16" i="1"/>
  <c r="C17" i="1"/>
  <c r="C18" i="1"/>
  <c r="C19" i="1"/>
  <c r="B19" i="1" s="1"/>
  <c r="C17" i="4" s="1"/>
  <c r="C20" i="1"/>
  <c r="B20" i="1" s="1"/>
  <c r="C21" i="1"/>
  <c r="C23" i="1"/>
  <c r="C24" i="1"/>
  <c r="E5" i="7"/>
  <c r="B19" i="7" s="1"/>
  <c r="D16" i="13" l="1"/>
  <c r="B18" i="1"/>
  <c r="B24" i="1"/>
  <c r="C21" i="4" s="1"/>
  <c r="C33" i="4" s="1"/>
  <c r="B23" i="1"/>
  <c r="C20" i="4" s="1"/>
  <c r="B23" i="7"/>
  <c r="B26" i="7" s="1"/>
  <c r="D14" i="1" s="1"/>
  <c r="C14" i="1" s="1"/>
  <c r="D3" i="1"/>
  <c r="D22" i="1" s="1"/>
  <c r="C23" i="4" l="1"/>
  <c r="C32" i="4" s="1"/>
  <c r="C22" i="1"/>
  <c r="B14" i="1"/>
  <c r="B25" i="7"/>
  <c r="D15" i="1" s="1"/>
  <c r="C15" i="1" s="1"/>
  <c r="D8" i="1"/>
  <c r="C8" i="1" s="1"/>
  <c r="C13" i="2" l="1"/>
  <c r="C29" i="4" s="1"/>
  <c r="C17" i="2"/>
  <c r="C18" i="2"/>
  <c r="B15" i="1"/>
  <c r="B8" i="1"/>
  <c r="C31" i="4" l="1"/>
  <c r="C19" i="2"/>
  <c r="C5" i="4" s="1"/>
  <c r="C20" i="2" l="1"/>
  <c r="E14" i="23" s="1"/>
  <c r="E24" i="23" s="1"/>
  <c r="C22" i="4"/>
  <c r="C30" i="4" s="1"/>
  <c r="D6" i="12" l="1"/>
  <c r="E25" i="23"/>
  <c r="C25" i="4" s="1"/>
  <c r="C2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tc={68B4983C-7674-43E6-9EC6-8A6D2FC221CC}</author>
  </authors>
  <commentList>
    <comment ref="A38" authorId="0" shapeId="0" xr:uid="{68B4983C-7674-43E6-9EC6-8A6D2FC221C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Monitoring = NinjaOne oder. 2 Positionen anderer Preis….</t>
      </text>
    </comment>
  </commentList>
</comments>
</file>

<file path=xl/sharedStrings.xml><?xml version="1.0" encoding="utf-8"?>
<sst xmlns="http://schemas.openxmlformats.org/spreadsheetml/2006/main" count="431" uniqueCount="168">
  <si>
    <t>Anzahl</t>
  </si>
  <si>
    <t>Preis</t>
  </si>
  <si>
    <t>Uplink</t>
  </si>
  <si>
    <t>Nein</t>
  </si>
  <si>
    <t>Pubic Ips</t>
  </si>
  <si>
    <t>VLANs</t>
  </si>
  <si>
    <t>7x24 Bereitschaft</t>
  </si>
  <si>
    <t>Firewall  Service für Server</t>
  </si>
  <si>
    <t>ReversProxy</t>
  </si>
  <si>
    <t>Site2Site VPN</t>
  </si>
  <si>
    <t>Client VPN</t>
  </si>
  <si>
    <t>Add Ons</t>
  </si>
  <si>
    <t>Monatliche Kosten</t>
  </si>
  <si>
    <t>Setup Kosten</t>
  </si>
  <si>
    <t>Detail Informationen</t>
  </si>
  <si>
    <t>pro Monat</t>
  </si>
  <si>
    <t>Computing Power</t>
  </si>
  <si>
    <t>Storage</t>
  </si>
  <si>
    <t>Lizenzen</t>
  </si>
  <si>
    <t>Security</t>
  </si>
  <si>
    <t>Support und Betreuung</t>
  </si>
  <si>
    <t>Netzwerk</t>
  </si>
  <si>
    <t>Total CPU [Stk]</t>
  </si>
  <si>
    <t>Total RAM  [GB]</t>
  </si>
  <si>
    <t>Total Storage Tier I  [GB]</t>
  </si>
  <si>
    <t>Total Storage Tier II  [GB]</t>
  </si>
  <si>
    <t>Total Storage Tier III (Backup)  [GB]</t>
  </si>
  <si>
    <t>Server</t>
  </si>
  <si>
    <t>Verfügbarkait in %</t>
  </si>
  <si>
    <t>RPO in h</t>
  </si>
  <si>
    <t>RTO in h</t>
  </si>
  <si>
    <t>max Downtime pro Jahr</t>
  </si>
  <si>
    <t>Service</t>
  </si>
  <si>
    <t>Summe/Monat</t>
  </si>
  <si>
    <t>Anmerkung</t>
  </si>
  <si>
    <t>DNS Firewall</t>
  </si>
  <si>
    <t>Firewall Protect Plus</t>
  </si>
  <si>
    <t>Patchmanagement Clients</t>
  </si>
  <si>
    <t>Monitoring</t>
  </si>
  <si>
    <t>Monitoring Advanced</t>
  </si>
  <si>
    <t>Office 365 Backup</t>
  </si>
  <si>
    <t>Summe</t>
  </si>
  <si>
    <t>Name</t>
  </si>
  <si>
    <t>vCores [STK]</t>
  </si>
  <si>
    <t>RAM [GB]</t>
  </si>
  <si>
    <t>Basis VM Preis</t>
  </si>
  <si>
    <t>T2 Storage [GB]</t>
  </si>
  <si>
    <t>RDS Lizenzen</t>
  </si>
  <si>
    <t>Backup</t>
  </si>
  <si>
    <t>4 Tage</t>
  </si>
  <si>
    <t>OS Betreuung</t>
  </si>
  <si>
    <t>DB Betreuung</t>
  </si>
  <si>
    <t>Name2</t>
  </si>
  <si>
    <t>Name3</t>
  </si>
  <si>
    <t>Name4</t>
  </si>
  <si>
    <t>Name5</t>
  </si>
  <si>
    <t>Name6</t>
  </si>
  <si>
    <t>Name7</t>
  </si>
  <si>
    <t>Name8</t>
  </si>
  <si>
    <t>Name9</t>
  </si>
  <si>
    <t>Name10</t>
  </si>
  <si>
    <t>Marge</t>
  </si>
  <si>
    <t>Max Kunden</t>
  </si>
  <si>
    <t>EK</t>
  </si>
  <si>
    <t>individuller VK</t>
  </si>
  <si>
    <t>VK laut Marge</t>
  </si>
  <si>
    <t>VM</t>
  </si>
  <si>
    <t>Windows Server pro 2 VM Cores</t>
  </si>
  <si>
    <t>SQL-SERVER pro 2 Cores</t>
  </si>
  <si>
    <t>Backup Lizenzen</t>
  </si>
  <si>
    <t>RAM</t>
  </si>
  <si>
    <t>CPU</t>
  </si>
  <si>
    <t>T1 Storage SSD</t>
  </si>
  <si>
    <t>T2 Storage HDD</t>
  </si>
  <si>
    <t>Backup Storage</t>
  </si>
  <si>
    <t>VLAN</t>
  </si>
  <si>
    <t xml:space="preserve">Uplink </t>
  </si>
  <si>
    <t>IP</t>
  </si>
  <si>
    <t>Firewall</t>
  </si>
  <si>
    <t>Kaspersky</t>
  </si>
  <si>
    <t>NinjaOne</t>
  </si>
  <si>
    <t>24x7</t>
  </si>
  <si>
    <t>S3 [TB]</t>
  </si>
  <si>
    <t>Veam Cloud Connect Storage [GB]</t>
  </si>
  <si>
    <t>Blue Shield pro User</t>
  </si>
  <si>
    <t>FW Protect Plus pro User</t>
  </si>
  <si>
    <t>Server Setup Kosten</t>
  </si>
  <si>
    <t>Montitoring Advanced</t>
  </si>
  <si>
    <t>Nodes</t>
  </si>
  <si>
    <t>Ratio</t>
  </si>
  <si>
    <t>vCPUs [STK]</t>
  </si>
  <si>
    <t>std Server</t>
  </si>
  <si>
    <t>Cores</t>
  </si>
  <si>
    <t>Anzahl der möglichen VMs</t>
  </si>
  <si>
    <t>Puffer</t>
  </si>
  <si>
    <t>nach CPU</t>
  </si>
  <si>
    <t>nach RAM</t>
  </si>
  <si>
    <t>Cluster Kosten</t>
  </si>
  <si>
    <t>Kosten pro std VM</t>
  </si>
  <si>
    <t>Kosten pro weitere CPU</t>
  </si>
  <si>
    <t>Kosten pro weiter GB Ram</t>
  </si>
  <si>
    <t>max Anzahl von Fehlern</t>
  </si>
  <si>
    <t>T1 Storage [GB] (min 50GB)</t>
  </si>
  <si>
    <t>S3 Spreicher [TB]</t>
  </si>
  <si>
    <t>Für Veeam optimierter Backupspeicher im Datencenter</t>
  </si>
  <si>
    <t>Cloud-Datenspeicher</t>
  </si>
  <si>
    <t xml:space="preserve">Sicherung von Office365 Daten </t>
  </si>
  <si>
    <t>Awarenes Schulungen</t>
  </si>
  <si>
    <t>Darkweb Recherche</t>
  </si>
  <si>
    <t>Office365 Backup</t>
  </si>
  <si>
    <t>Anz</t>
  </si>
  <si>
    <t>SentinalOne</t>
  </si>
  <si>
    <t>Veam Cloud Connect Storage [GB] / externe Sicherung
sicherung über Agent von intern.</t>
  </si>
  <si>
    <t>Update / Patchmanagement Server</t>
  </si>
  <si>
    <t>Preis/Anzahl</t>
  </si>
  <si>
    <t>Setup</t>
  </si>
  <si>
    <t>Setup Uplink</t>
  </si>
  <si>
    <t>Setup VLANs</t>
  </si>
  <si>
    <t>Setup 7x24 Bereitschaft</t>
  </si>
  <si>
    <t>Setup Firewall  Service für Server</t>
  </si>
  <si>
    <t>Setup ReversProxy</t>
  </si>
  <si>
    <t>Setup Site2Site VPN</t>
  </si>
  <si>
    <t>Setup Client VPN</t>
  </si>
  <si>
    <t>Addons</t>
  </si>
  <si>
    <t>Server1</t>
  </si>
  <si>
    <t>Server2</t>
  </si>
  <si>
    <t>Server3</t>
  </si>
  <si>
    <t>Server4</t>
  </si>
  <si>
    <t>Server5</t>
  </si>
  <si>
    <t>Server6</t>
  </si>
  <si>
    <t>Server7</t>
  </si>
  <si>
    <t>Server8</t>
  </si>
  <si>
    <t>Server9</t>
  </si>
  <si>
    <t>Server10</t>
  </si>
  <si>
    <t>G-Preis</t>
  </si>
  <si>
    <t>E- Preis</t>
  </si>
  <si>
    <t>Interne Berechnung für Setupkosten</t>
  </si>
  <si>
    <t>Client VPN pro User</t>
  </si>
  <si>
    <t>Setup Client VPN pro User</t>
  </si>
  <si>
    <t>3) Standard Server 4 Cores und 8 GB RAM</t>
  </si>
  <si>
    <t>EK Proxmox Cluster inkl. Uplink und 24x7 Betrieb</t>
  </si>
  <si>
    <t>Fortinet Firewall Service inkl. UTM Bundle</t>
  </si>
  <si>
    <t>Absicherung von DNS Abfragen um Malware frühzeitig zu erkennen (*)</t>
  </si>
  <si>
    <t>* Was ist das genau?</t>
  </si>
  <si>
    <t>Überwachung von allen Ihren Greäten auf Betriebsfähigkeit (***)</t>
  </si>
  <si>
    <t>Überwachung von allen Ihren Greäten auf Betriebsfähigkeit aus Ihrem Netzwerk  (****)</t>
  </si>
  <si>
    <t>*** Managed Monitoring der Endgeräte - Clients</t>
  </si>
  <si>
    <t>**** Managed Monitoring aller Netzwerkendgeräte - Firewall/Switches usw.</t>
  </si>
  <si>
    <t xml:space="preserve">Manged Secure Endpoint </t>
  </si>
  <si>
    <t>Managed NextGen AntiVirus inkl. Leistung.</t>
  </si>
  <si>
    <t>***** Welche Daten sind von Ihen gespeichert. Gibt es einen möglichen Angriff gegebn Sie, der geplant ist?</t>
  </si>
  <si>
    <t>** Vermeidung von Hacker oder Spamattacken, erweiterte Schutz vor Angriffen</t>
  </si>
  <si>
    <t>Schaffen von Sicherheitsbewustsein ihrer Benutzer (NIS2) (*****)</t>
  </si>
  <si>
    <t>***** Schulungsplatform für User. Security Kurse zur Schaffung von Pflichtbewusstein in der IT</t>
  </si>
  <si>
    <t>Name1</t>
  </si>
  <si>
    <t>Pubic IPs</t>
  </si>
  <si>
    <t>RDS-CAL</t>
  </si>
  <si>
    <t>1) Es müssen immer mind. 8 Cores lizenziert werden</t>
  </si>
  <si>
    <r>
      <t>Windows Lizenz</t>
    </r>
    <r>
      <rPr>
        <vertAlign val="superscript"/>
        <sz val="12"/>
        <color theme="1"/>
        <rFont val="Montserrat"/>
      </rPr>
      <t>1</t>
    </r>
  </si>
  <si>
    <r>
      <t>MS-SQL Server Lizenz</t>
    </r>
    <r>
      <rPr>
        <vertAlign val="superscript"/>
        <sz val="12"/>
        <color theme="1"/>
        <rFont val="Montserrat"/>
      </rPr>
      <t>2</t>
    </r>
  </si>
  <si>
    <t>2)Es müssen immer mind. 2 Cores lizenziert werden.</t>
  </si>
  <si>
    <t>User-CAL</t>
  </si>
  <si>
    <t>2) 50 GB T1 Storage mindest  Größe</t>
  </si>
  <si>
    <t>Setup Public IPs</t>
  </si>
  <si>
    <t>Erweiterung der Firewall um premium Datenfeeds (wird pro User lizenziert) (**)</t>
  </si>
  <si>
    <t>Bereitstellung und Installation von OS Updates und Patches - System Härtung</t>
  </si>
  <si>
    <t>Darkweb Analyse (******)
Einmalige Komplettanalyse.</t>
  </si>
  <si>
    <t>4) RDS/Terminal: WinSRV 2022; 8 Cores und 16GB RAM (+ 2GB / aktivem User) [Anwendungsabhängig]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</si>
</sst>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Montserrat"/>
    </font>
    <font>
      <sz val="12"/>
      <color theme="1"/>
      <name val="Montserrat"/>
    </font>
    <font>
      <b/>
      <sz val="12"/>
      <color theme="1"/>
      <name val="Montserrat"/>
    </font>
    <font>
      <sz val="11"/>
      <color rgb="FF3F3F76"/>
      <name val="Montserrat"/>
    </font>
    <font>
      <b/>
      <sz val="11"/>
      <color theme="1"/>
      <name val="Montserrat"/>
    </font>
    <font>
      <sz val="12"/>
      <name val="Montserrat"/>
    </font>
    <font>
      <b/>
      <sz val="12"/>
      <color rgb="FF5F5748"/>
      <name val="Montserrat"/>
    </font>
    <font>
      <vertAlign val="superscript"/>
      <sz val="12"/>
      <color theme="1"/>
      <name val="Montserrat"/>
    </font>
    <font>
      <b/>
      <i/>
      <sz val="12"/>
      <color theme="1"/>
      <name val="Montserrat"/>
    </font>
    <font>
      <b/>
      <i/>
      <sz val="12"/>
      <color rgb="FF5F5748"/>
      <name val="Montserrat"/>
    </font>
    <font>
      <b/>
      <i/>
      <sz val="11"/>
      <color theme="1"/>
      <name val="Montserrat"/>
    </font>
    <font>
      <b/>
      <sz val="11"/>
      <color rgb="FF5F5748"/>
      <name val="Montserrat"/>
    </font>
    <font>
      <b/>
      <sz val="12"/>
      <color theme="0"/>
      <name val="Montserrat"/>
    </font>
    <font>
      <sz val="12"/>
      <color theme="0"/>
      <name val="Montserrat"/>
    </font>
    <font>
      <b/>
      <sz val="11"/>
      <color theme="0"/>
      <name val="Montserrat"/>
    </font>
    <font>
      <sz val="11"/>
      <color theme="0"/>
      <name val="Montserrat"/>
    </font>
    <font>
      <b/>
      <sz val="11"/>
      <color rgb="FFFF0000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5F5749"/>
        <bgColor indexed="64"/>
      </patternFill>
    </fill>
    <fill>
      <patternFill patternType="solid">
        <fgColor rgb="FFBAB3A6"/>
        <bgColor indexed="64"/>
      </patternFill>
    </fill>
    <fill>
      <patternFill patternType="solid">
        <fgColor rgb="FF796F5D"/>
        <bgColor indexed="64"/>
      </patternFill>
    </fill>
    <fill>
      <patternFill patternType="solid">
        <fgColor rgb="FFE4E1DC"/>
        <bgColor indexed="64"/>
      </patternFill>
    </fill>
    <fill>
      <patternFill patternType="solid">
        <fgColor rgb="FF5F5748"/>
        <bgColor indexed="64"/>
      </patternFill>
    </fill>
    <fill>
      <patternFill patternType="solid">
        <fgColor rgb="FF948974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5" fillId="0" borderId="0" xfId="0" applyFont="1"/>
    <xf numFmtId="164" fontId="5" fillId="0" borderId="0" xfId="1" applyFont="1" applyFill="1"/>
    <xf numFmtId="0" fontId="7" fillId="0" borderId="0" xfId="0" applyFont="1" applyAlignment="1">
      <alignment horizontal="center"/>
    </xf>
    <xf numFmtId="0" fontId="6" fillId="0" borderId="0" xfId="0" applyFont="1"/>
    <xf numFmtId="0" fontId="17" fillId="4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center"/>
    </xf>
    <xf numFmtId="0" fontId="10" fillId="5" borderId="2" xfId="0" applyFont="1" applyFill="1" applyBorder="1" applyProtection="1">
      <protection hidden="1"/>
    </xf>
    <xf numFmtId="0" fontId="10" fillId="5" borderId="2" xfId="0" applyFont="1" applyFill="1" applyBorder="1" applyAlignment="1" applyProtection="1">
      <alignment horizontal="right"/>
      <protection hidden="1"/>
    </xf>
    <xf numFmtId="0" fontId="18" fillId="9" borderId="2" xfId="0" applyFont="1" applyFill="1" applyBorder="1" applyAlignment="1" applyProtection="1">
      <alignment horizontal="right"/>
      <protection locked="0"/>
    </xf>
    <xf numFmtId="0" fontId="18" fillId="5" borderId="2" xfId="3" applyFont="1" applyFill="1" applyBorder="1" applyAlignment="1" applyProtection="1">
      <alignment horizontal="center"/>
      <protection locked="0"/>
    </xf>
    <xf numFmtId="164" fontId="5" fillId="0" borderId="0" xfId="1" applyFont="1" applyFill="1" applyProtection="1"/>
    <xf numFmtId="0" fontId="17" fillId="4" borderId="39" xfId="0" applyFont="1" applyFill="1" applyBorder="1"/>
    <xf numFmtId="0" fontId="17" fillId="4" borderId="17" xfId="0" applyFont="1" applyFill="1" applyBorder="1"/>
    <xf numFmtId="164" fontId="17" fillId="4" borderId="18" xfId="1" applyFont="1" applyFill="1" applyBorder="1" applyProtection="1"/>
    <xf numFmtId="164" fontId="6" fillId="5" borderId="12" xfId="0" applyNumberFormat="1" applyFont="1" applyFill="1" applyBorder="1"/>
    <xf numFmtId="164" fontId="6" fillId="5" borderId="38" xfId="0" applyNumberFormat="1" applyFont="1" applyFill="1" applyBorder="1"/>
    <xf numFmtId="164" fontId="11" fillId="5" borderId="13" xfId="1" applyFont="1" applyFill="1" applyBorder="1" applyProtection="1"/>
    <xf numFmtId="164" fontId="6" fillId="5" borderId="14" xfId="0" applyNumberFormat="1" applyFont="1" applyFill="1" applyBorder="1"/>
    <xf numFmtId="164" fontId="6" fillId="5" borderId="40" xfId="0" applyNumberFormat="1" applyFont="1" applyFill="1" applyBorder="1"/>
    <xf numFmtId="164" fontId="6" fillId="5" borderId="22" xfId="0" applyNumberFormat="1" applyFont="1" applyFill="1" applyBorder="1"/>
    <xf numFmtId="164" fontId="6" fillId="5" borderId="41" xfId="0" applyNumberFormat="1" applyFont="1" applyFill="1" applyBorder="1"/>
    <xf numFmtId="0" fontId="6" fillId="5" borderId="12" xfId="0" applyFont="1" applyFill="1" applyBorder="1"/>
    <xf numFmtId="164" fontId="11" fillId="5" borderId="13" xfId="4" applyNumberFormat="1" applyFont="1" applyFill="1" applyBorder="1" applyProtection="1"/>
    <xf numFmtId="164" fontId="5" fillId="0" borderId="0" xfId="0" applyNumberFormat="1" applyFont="1"/>
    <xf numFmtId="164" fontId="6" fillId="5" borderId="2" xfId="0" applyNumberFormat="1" applyFont="1" applyFill="1" applyBorder="1"/>
    <xf numFmtId="0" fontId="6" fillId="5" borderId="35" xfId="0" applyFont="1" applyFill="1" applyBorder="1"/>
    <xf numFmtId="164" fontId="6" fillId="5" borderId="36" xfId="0" applyNumberFormat="1" applyFont="1" applyFill="1" applyBorder="1"/>
    <xf numFmtId="164" fontId="11" fillId="5" borderId="37" xfId="4" applyNumberFormat="1" applyFont="1" applyFill="1" applyBorder="1" applyProtection="1"/>
    <xf numFmtId="0" fontId="6" fillId="0" borderId="10" xfId="0" applyFont="1" applyBorder="1"/>
    <xf numFmtId="164" fontId="11" fillId="0" borderId="11" xfId="4" applyNumberFormat="1" applyFont="1" applyFill="1" applyBorder="1" applyProtection="1"/>
    <xf numFmtId="0" fontId="6" fillId="0" borderId="7" xfId="0" applyFont="1" applyBorder="1"/>
    <xf numFmtId="164" fontId="11" fillId="0" borderId="9" xfId="4" applyNumberFormat="1" applyFont="1" applyFill="1" applyBorder="1" applyProtection="1"/>
    <xf numFmtId="0" fontId="18" fillId="6" borderId="33" xfId="0" applyFont="1" applyFill="1" applyBorder="1"/>
    <xf numFmtId="0" fontId="18" fillId="6" borderId="42" xfId="0" applyFont="1" applyFill="1" applyBorder="1"/>
    <xf numFmtId="164" fontId="17" fillId="6" borderId="34" xfId="4" applyNumberFormat="1" applyFont="1" applyFill="1" applyBorder="1" applyProtection="1"/>
    <xf numFmtId="0" fontId="18" fillId="6" borderId="10" xfId="0" applyFont="1" applyFill="1" applyBorder="1"/>
    <xf numFmtId="0" fontId="18" fillId="6" borderId="0" xfId="0" applyFont="1" applyFill="1"/>
    <xf numFmtId="164" fontId="17" fillId="6" borderId="11" xfId="4" applyNumberFormat="1" applyFont="1" applyFill="1" applyBorder="1" applyProtection="1"/>
    <xf numFmtId="0" fontId="6" fillId="7" borderId="4" xfId="0" applyFont="1" applyFill="1" applyBorder="1"/>
    <xf numFmtId="0" fontId="6" fillId="7" borderId="5" xfId="0" applyFont="1" applyFill="1" applyBorder="1"/>
    <xf numFmtId="165" fontId="6" fillId="7" borderId="6" xfId="5" applyNumberFormat="1" applyFont="1" applyFill="1" applyBorder="1" applyProtection="1"/>
    <xf numFmtId="0" fontId="6" fillId="7" borderId="10" xfId="0" applyFont="1" applyFill="1" applyBorder="1"/>
    <xf numFmtId="0" fontId="6" fillId="7" borderId="0" xfId="0" applyFont="1" applyFill="1"/>
    <xf numFmtId="165" fontId="6" fillId="7" borderId="11" xfId="5" applyNumberFormat="1" applyFont="1" applyFill="1" applyBorder="1" applyProtection="1"/>
    <xf numFmtId="0" fontId="6" fillId="7" borderId="7" xfId="0" applyFont="1" applyFill="1" applyBorder="1"/>
    <xf numFmtId="0" fontId="6" fillId="7" borderId="8" xfId="0" applyFont="1" applyFill="1" applyBorder="1"/>
    <xf numFmtId="165" fontId="6" fillId="7" borderId="9" xfId="5" applyNumberFormat="1" applyFont="1" applyFill="1" applyBorder="1" applyProtection="1"/>
    <xf numFmtId="164" fontId="5" fillId="0" borderId="0" xfId="1" applyFont="1" applyProtection="1"/>
    <xf numFmtId="0" fontId="20" fillId="9" borderId="2" xfId="0" applyFont="1" applyFill="1" applyBorder="1"/>
    <xf numFmtId="43" fontId="11" fillId="7" borderId="18" xfId="5" applyFont="1" applyFill="1" applyBorder="1" applyProtection="1"/>
    <xf numFmtId="43" fontId="11" fillId="7" borderId="13" xfId="5" applyFont="1" applyFill="1" applyBorder="1" applyProtection="1"/>
    <xf numFmtId="43" fontId="11" fillId="7" borderId="15" xfId="5" applyFont="1" applyFill="1" applyBorder="1" applyProtection="1"/>
    <xf numFmtId="164" fontId="11" fillId="10" borderId="31" xfId="4" applyNumberFormat="1" applyFont="1" applyFill="1" applyBorder="1" applyProtection="1"/>
    <xf numFmtId="164" fontId="14" fillId="10" borderId="21" xfId="4" applyNumberFormat="1" applyFont="1" applyFill="1" applyBorder="1" applyProtection="1"/>
    <xf numFmtId="0" fontId="18" fillId="9" borderId="17" xfId="3" applyFont="1" applyFill="1" applyBorder="1" applyProtection="1">
      <protection locked="0"/>
    </xf>
    <xf numFmtId="0" fontId="18" fillId="9" borderId="28" xfId="3" applyFont="1" applyFill="1" applyBorder="1" applyProtection="1">
      <protection locked="0"/>
    </xf>
    <xf numFmtId="0" fontId="18" fillId="9" borderId="2" xfId="3" applyFont="1" applyFill="1" applyBorder="1" applyProtection="1">
      <protection locked="0"/>
    </xf>
    <xf numFmtId="0" fontId="18" fillId="9" borderId="2" xfId="3" applyFont="1" applyFill="1" applyBorder="1" applyAlignment="1" applyProtection="1">
      <alignment horizontal="right"/>
      <protection locked="0"/>
    </xf>
    <xf numFmtId="0" fontId="18" fillId="9" borderId="28" xfId="3" applyFont="1" applyFill="1" applyBorder="1" applyAlignment="1" applyProtection="1">
      <alignment horizontal="right"/>
      <protection locked="0"/>
    </xf>
    <xf numFmtId="0" fontId="5" fillId="0" borderId="0" xfId="0" applyFont="1" applyAlignment="1">
      <alignment horizontal="center"/>
    </xf>
    <xf numFmtId="0" fontId="6" fillId="7" borderId="2" xfId="0" applyFont="1" applyFill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1" applyFont="1" applyBorder="1" applyProtection="1"/>
    <xf numFmtId="0" fontId="5" fillId="0" borderId="2" xfId="0" applyFont="1" applyBorder="1"/>
    <xf numFmtId="164" fontId="0" fillId="0" borderId="0" xfId="0" applyNumberFormat="1"/>
    <xf numFmtId="164" fontId="5" fillId="0" borderId="2" xfId="0" applyNumberFormat="1" applyFont="1" applyBorder="1" applyAlignment="1">
      <alignment horizontal="center"/>
    </xf>
    <xf numFmtId="164" fontId="5" fillId="0" borderId="43" xfId="0" applyNumberFormat="1" applyFont="1" applyBorder="1"/>
    <xf numFmtId="0" fontId="0" fillId="0" borderId="0" xfId="0" applyAlignment="1">
      <alignment horizontal="center"/>
    </xf>
    <xf numFmtId="0" fontId="8" fillId="5" borderId="2" xfId="3" applyFont="1" applyFill="1" applyBorder="1" applyProtection="1"/>
    <xf numFmtId="0" fontId="16" fillId="7" borderId="2" xfId="4" applyFont="1" applyFill="1" applyBorder="1" applyProtection="1"/>
    <xf numFmtId="0" fontId="8" fillId="5" borderId="1" xfId="3" applyFont="1" applyFill="1" applyProtection="1"/>
    <xf numFmtId="9" fontId="8" fillId="5" borderId="1" xfId="2" applyFont="1" applyFill="1" applyBorder="1" applyProtection="1"/>
    <xf numFmtId="0" fontId="16" fillId="7" borderId="1" xfId="4" applyFont="1" applyFill="1" applyProtection="1"/>
    <xf numFmtId="164" fontId="16" fillId="7" borderId="1" xfId="1" applyFont="1" applyFill="1" applyBorder="1" applyProtection="1"/>
    <xf numFmtId="9" fontId="8" fillId="5" borderId="2" xfId="3" applyNumberFormat="1" applyFont="1" applyFill="1" applyBorder="1" applyProtection="1"/>
    <xf numFmtId="43" fontId="16" fillId="3" borderId="2" xfId="4" applyNumberFormat="1" applyFont="1" applyBorder="1" applyProtection="1"/>
    <xf numFmtId="164" fontId="8" fillId="5" borderId="2" xfId="1" applyFont="1" applyFill="1" applyBorder="1" applyProtection="1"/>
    <xf numFmtId="164" fontId="20" fillId="9" borderId="2" xfId="1" applyFont="1" applyFill="1" applyBorder="1" applyProtection="1"/>
    <xf numFmtId="164" fontId="16" fillId="3" borderId="2" xfId="4" applyNumberFormat="1" applyFont="1" applyBorder="1" applyProtection="1"/>
    <xf numFmtId="164" fontId="16" fillId="3" borderId="2" xfId="1" applyFont="1" applyFill="1" applyBorder="1" applyProtection="1"/>
    <xf numFmtId="164" fontId="5" fillId="5" borderId="2" xfId="1" applyFont="1" applyFill="1" applyBorder="1" applyProtection="1"/>
    <xf numFmtId="0" fontId="5" fillId="0" borderId="2" xfId="0" applyFont="1" applyBorder="1" applyAlignment="1">
      <alignment wrapText="1"/>
    </xf>
    <xf numFmtId="0" fontId="20" fillId="9" borderId="23" xfId="0" applyFont="1" applyFill="1" applyBorder="1" applyProtection="1">
      <protection locked="0"/>
    </xf>
    <xf numFmtId="0" fontId="20" fillId="9" borderId="2" xfId="0" applyFont="1" applyFill="1" applyBorder="1" applyProtection="1">
      <protection locked="0"/>
    </xf>
    <xf numFmtId="0" fontId="20" fillId="9" borderId="28" xfId="0" applyFont="1" applyFill="1" applyBorder="1" applyProtection="1">
      <protection locked="0"/>
    </xf>
    <xf numFmtId="0" fontId="19" fillId="8" borderId="25" xfId="0" applyFont="1" applyFill="1" applyBorder="1"/>
    <xf numFmtId="0" fontId="19" fillId="8" borderId="26" xfId="0" applyFont="1" applyFill="1" applyBorder="1"/>
    <xf numFmtId="0" fontId="19" fillId="8" borderId="27" xfId="0" applyFont="1" applyFill="1" applyBorder="1"/>
    <xf numFmtId="0" fontId="9" fillId="0" borderId="0" xfId="0" applyFont="1"/>
    <xf numFmtId="0" fontId="5" fillId="5" borderId="22" xfId="0" applyFont="1" applyFill="1" applyBorder="1"/>
    <xf numFmtId="164" fontId="5" fillId="5" borderId="23" xfId="0" applyNumberFormat="1" applyFont="1" applyFill="1" applyBorder="1"/>
    <xf numFmtId="164" fontId="5" fillId="5" borderId="2" xfId="0" applyNumberFormat="1" applyFont="1" applyFill="1" applyBorder="1"/>
    <xf numFmtId="0" fontId="5" fillId="5" borderId="24" xfId="0" applyFont="1" applyFill="1" applyBorder="1" applyAlignment="1">
      <alignment wrapText="1"/>
    </xf>
    <xf numFmtId="0" fontId="5" fillId="5" borderId="12" xfId="0" applyFont="1" applyFill="1" applyBorder="1"/>
    <xf numFmtId="0" fontId="5" fillId="5" borderId="13" xfId="0" applyFont="1" applyFill="1" applyBorder="1" applyAlignment="1">
      <alignment wrapText="1"/>
    </xf>
    <xf numFmtId="0" fontId="5" fillId="5" borderId="14" xfId="0" applyFont="1" applyFill="1" applyBorder="1"/>
    <xf numFmtId="164" fontId="5" fillId="5" borderId="3" xfId="0" applyNumberFormat="1" applyFont="1" applyFill="1" applyBorder="1"/>
    <xf numFmtId="164" fontId="5" fillId="5" borderId="28" xfId="0" applyNumberFormat="1" applyFont="1" applyFill="1" applyBorder="1"/>
    <xf numFmtId="0" fontId="5" fillId="5" borderId="15" xfId="0" applyFont="1" applyFill="1" applyBorder="1" applyAlignment="1">
      <alignment wrapText="1"/>
    </xf>
    <xf numFmtId="0" fontId="9" fillId="7" borderId="33" xfId="0" applyFont="1" applyFill="1" applyBorder="1"/>
    <xf numFmtId="0" fontId="9" fillId="7" borderId="32" xfId="0" applyFont="1" applyFill="1" applyBorder="1"/>
    <xf numFmtId="164" fontId="9" fillId="7" borderId="26" xfId="0" applyNumberFormat="1" applyFont="1" applyFill="1" applyBorder="1"/>
    <xf numFmtId="0" fontId="9" fillId="7" borderId="34" xfId="0" applyFont="1" applyFill="1" applyBorder="1" applyAlignment="1">
      <alignment wrapText="1"/>
    </xf>
    <xf numFmtId="0" fontId="5" fillId="5" borderId="0" xfId="0" applyFont="1" applyFill="1"/>
    <xf numFmtId="0" fontId="17" fillId="8" borderId="25" xfId="0" applyFont="1" applyFill="1" applyBorder="1"/>
    <xf numFmtId="0" fontId="17" fillId="8" borderId="26" xfId="0" applyFont="1" applyFill="1" applyBorder="1" applyAlignment="1">
      <alignment horizontal="right"/>
    </xf>
    <xf numFmtId="0" fontId="6" fillId="7" borderId="16" xfId="0" applyFont="1" applyFill="1" applyBorder="1"/>
    <xf numFmtId="0" fontId="6" fillId="7" borderId="12" xfId="0" applyFont="1" applyFill="1" applyBorder="1"/>
    <xf numFmtId="0" fontId="6" fillId="7" borderId="14" xfId="0" applyFont="1" applyFill="1" applyBorder="1"/>
    <xf numFmtId="0" fontId="7" fillId="10" borderId="29" xfId="0" applyFont="1" applyFill="1" applyBorder="1"/>
    <xf numFmtId="0" fontId="7" fillId="10" borderId="30" xfId="0" applyFont="1" applyFill="1" applyBorder="1"/>
    <xf numFmtId="0" fontId="13" fillId="10" borderId="19" xfId="0" applyFont="1" applyFill="1" applyBorder="1"/>
    <xf numFmtId="0" fontId="13" fillId="10" borderId="20" xfId="0" applyFont="1" applyFill="1" applyBorder="1"/>
    <xf numFmtId="0" fontId="15" fillId="0" borderId="0" xfId="0" applyFont="1"/>
    <xf numFmtId="0" fontId="17" fillId="8" borderId="27" xfId="0" applyFont="1" applyFill="1" applyBorder="1" applyProtection="1">
      <protection locked="0"/>
    </xf>
    <xf numFmtId="0" fontId="5" fillId="5" borderId="0" xfId="0" applyFont="1" applyFill="1" applyAlignment="1">
      <alignment horizontal="left" wrapText="1"/>
    </xf>
    <xf numFmtId="0" fontId="21" fillId="5" borderId="0" xfId="0" applyFont="1" applyFill="1" applyAlignment="1">
      <alignment horizontal="left" wrapText="1"/>
    </xf>
  </cellXfs>
  <cellStyles count="6">
    <cellStyle name="Berechnung" xfId="4" builtinId="22"/>
    <cellStyle name="Eingabe" xfId="3" builtinId="20"/>
    <cellStyle name="Komma" xfId="5" builtinId="3"/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948974"/>
      <color rgb="FFBAB3A6"/>
      <color rgb="FFE4E1DC"/>
      <color rgb="FF5F5748"/>
      <color rgb="FF5F5749"/>
      <color rgb="FF796F5D"/>
      <color rgb="FFFFFFCC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ng. Markus Pierer, MSc. BSc. | Acronum GmbH" id="{6EAEFCAA-6691-49FE-B006-75EE2F1478A8}" userId="S::mp@acronum.com::6cfdae56-f901-41b9-a5e3-ba2b5be8e95e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8" dT="2024-07-22T22:03:06.44" personId="{6EAEFCAA-6691-49FE-B006-75EE2F1478A8}" id="{68B4983C-7674-43E6-9EC6-8A6D2FC221CC}">
    <text>Monitoring = NinjaOne oder. 2 Positionen anderer Preis….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Relationship Id="rId4" Type="http://schemas.microsoft.com/office/2017/10/relationships/threadedComment" Target="../threadedComments/threadedComment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AD44-7DDA-407A-AD16-54CF415E39F5}">
  <sheetPr codeName="Tabelle1"/>
  <dimension ref="A1:E38"/>
  <sheetViews>
    <sheetView view="pageLayout" zoomScale="85" zoomScaleNormal="106" zoomScalePageLayoutView="85" workbookViewId="0">
      <selection activeCell="B19" sqref="B19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5" ht="15" customHeight="1" x14ac:dyDescent="0.35">
      <c r="C1" s="11"/>
    </row>
    <row r="2" spans="1:5" x14ac:dyDescent="0.35">
      <c r="C2" s="11"/>
    </row>
    <row r="3" spans="1:5" ht="13.5" customHeight="1" thickBot="1" x14ac:dyDescent="0.4">
      <c r="C3" s="11"/>
    </row>
    <row r="4" spans="1:5" x14ac:dyDescent="0.35">
      <c r="A4" s="12"/>
      <c r="B4" s="13" t="s">
        <v>0</v>
      </c>
      <c r="C4" s="14" t="s">
        <v>1</v>
      </c>
    </row>
    <row r="5" spans="1:5" ht="18.75" x14ac:dyDescent="0.35">
      <c r="A5" s="15" t="str">
        <f>Server1!C6</f>
        <v>Name1</v>
      </c>
      <c r="B5" s="16"/>
      <c r="C5" s="17">
        <f>Server1!$C19</f>
        <v>0</v>
      </c>
    </row>
    <row r="6" spans="1:5" ht="18.75" x14ac:dyDescent="0.35">
      <c r="A6" s="15" t="str">
        <f>Server2!C6</f>
        <v>Name2</v>
      </c>
      <c r="B6" s="16"/>
      <c r="C6" s="17">
        <f>Server2!$C19</f>
        <v>0</v>
      </c>
    </row>
    <row r="7" spans="1:5" ht="18.75" x14ac:dyDescent="0.35">
      <c r="A7" s="18" t="str">
        <f>Server3!C6</f>
        <v>Name3</v>
      </c>
      <c r="B7" s="19"/>
      <c r="C7" s="17">
        <f>Server3!$C19</f>
        <v>0</v>
      </c>
    </row>
    <row r="8" spans="1:5" ht="18.75" x14ac:dyDescent="0.35">
      <c r="A8" s="15" t="str">
        <f>Server4!C6</f>
        <v>Name4</v>
      </c>
      <c r="B8" s="16"/>
      <c r="C8" s="17">
        <f>Server4!$C19</f>
        <v>0</v>
      </c>
    </row>
    <row r="9" spans="1:5" ht="18.75" x14ac:dyDescent="0.35">
      <c r="A9" s="20" t="str">
        <f>Server5!C6</f>
        <v>Name5</v>
      </c>
      <c r="B9" s="21"/>
      <c r="C9" s="17">
        <f>Server5!$C19</f>
        <v>0</v>
      </c>
    </row>
    <row r="10" spans="1:5" ht="18.75" x14ac:dyDescent="0.35">
      <c r="A10" s="15" t="str">
        <f>Server6!C6</f>
        <v>Name6</v>
      </c>
      <c r="B10" s="16"/>
      <c r="C10" s="17">
        <f>Server6!$C19</f>
        <v>0</v>
      </c>
    </row>
    <row r="11" spans="1:5" ht="18.75" x14ac:dyDescent="0.35">
      <c r="A11" s="15" t="str">
        <f>Server7!C6</f>
        <v>Name7</v>
      </c>
      <c r="B11" s="16"/>
      <c r="C11" s="17">
        <f>Server7!$C19</f>
        <v>0</v>
      </c>
    </row>
    <row r="12" spans="1:5" ht="18.75" x14ac:dyDescent="0.35">
      <c r="A12" s="15" t="str">
        <f>Server8!C6</f>
        <v>Name8</v>
      </c>
      <c r="B12" s="16"/>
      <c r="C12" s="17">
        <f>Server8!$C19</f>
        <v>0</v>
      </c>
    </row>
    <row r="13" spans="1:5" ht="18.75" x14ac:dyDescent="0.35">
      <c r="A13" s="15" t="str">
        <f>Server9!C6</f>
        <v>Name9</v>
      </c>
      <c r="B13" s="16"/>
      <c r="C13" s="17">
        <f>Server9!$C19</f>
        <v>0</v>
      </c>
    </row>
    <row r="14" spans="1:5" ht="18.75" x14ac:dyDescent="0.35">
      <c r="A14" s="15" t="str">
        <f>Server10!C6</f>
        <v>Name10</v>
      </c>
      <c r="B14" s="16"/>
      <c r="C14" s="17">
        <f>Server10!$C19</f>
        <v>0</v>
      </c>
    </row>
    <row r="15" spans="1:5" ht="18.75" x14ac:dyDescent="0.35">
      <c r="A15" s="22" t="s">
        <v>2</v>
      </c>
      <c r="B15" s="10" t="s">
        <v>3</v>
      </c>
      <c r="C15" s="23">
        <f>IF(B15="Ja",Preise!$B20,0)</f>
        <v>0</v>
      </c>
      <c r="E15" s="24"/>
    </row>
    <row r="16" spans="1:5" ht="18.75" x14ac:dyDescent="0.35">
      <c r="A16" s="22" t="s">
        <v>155</v>
      </c>
      <c r="B16" s="10">
        <v>0</v>
      </c>
      <c r="C16" s="23">
        <f>B16*Preise!$B21</f>
        <v>0</v>
      </c>
    </row>
    <row r="17" spans="1:5" ht="18.75" x14ac:dyDescent="0.35">
      <c r="A17" s="22" t="s">
        <v>5</v>
      </c>
      <c r="B17" s="10">
        <v>0</v>
      </c>
      <c r="C17" s="23">
        <f>B17*Preise!$B19</f>
        <v>0</v>
      </c>
    </row>
    <row r="18" spans="1:5" ht="18.75" x14ac:dyDescent="0.35">
      <c r="A18" s="22" t="s">
        <v>6</v>
      </c>
      <c r="B18" s="10" t="s">
        <v>3</v>
      </c>
      <c r="C18" s="23">
        <f>IF(B18="Ja",Preise!$B29,0)</f>
        <v>0</v>
      </c>
    </row>
    <row r="19" spans="1:5" ht="18.75" x14ac:dyDescent="0.35">
      <c r="A19" s="22" t="s">
        <v>8</v>
      </c>
      <c r="B19" s="10" t="s">
        <v>3</v>
      </c>
      <c r="C19" s="23">
        <f>IF(B19="Ja",Preise!$B28,0)</f>
        <v>0</v>
      </c>
    </row>
    <row r="20" spans="1:5" ht="18.75" x14ac:dyDescent="0.35">
      <c r="A20" s="22" t="s">
        <v>9</v>
      </c>
      <c r="B20" s="10">
        <v>0</v>
      </c>
      <c r="C20" s="23">
        <f>B20*Preise!$B23</f>
        <v>0</v>
      </c>
    </row>
    <row r="21" spans="1:5" ht="18.75" x14ac:dyDescent="0.35">
      <c r="A21" s="22" t="s">
        <v>10</v>
      </c>
      <c r="B21" s="10">
        <v>0</v>
      </c>
      <c r="C21" s="23">
        <f>B21*Preise!$B24</f>
        <v>0</v>
      </c>
    </row>
    <row r="22" spans="1:5" ht="18.75" x14ac:dyDescent="0.35">
      <c r="A22" s="22" t="s">
        <v>7</v>
      </c>
      <c r="B22" s="25"/>
      <c r="C22" s="23">
        <f>IF(SUM(C5:C21)&gt;0,Preise!$B22,0)</f>
        <v>0</v>
      </c>
    </row>
    <row r="23" spans="1:5" ht="19.5" thickBot="1" x14ac:dyDescent="0.4">
      <c r="A23" s="26" t="s">
        <v>11</v>
      </c>
      <c r="B23" s="27"/>
      <c r="C23" s="28">
        <f>'Add-Ons'!$D16</f>
        <v>0</v>
      </c>
    </row>
    <row r="24" spans="1:5" ht="18.75" x14ac:dyDescent="0.35">
      <c r="A24" s="29" t="s">
        <v>12</v>
      </c>
      <c r="B24" s="4"/>
      <c r="C24" s="30">
        <f>SUM(C5:C23)</f>
        <v>0</v>
      </c>
      <c r="E24" s="24"/>
    </row>
    <row r="25" spans="1:5" ht="19.5" thickBot="1" x14ac:dyDescent="0.4">
      <c r="A25" s="31" t="s">
        <v>13</v>
      </c>
      <c r="B25" s="4"/>
      <c r="C25" s="32">
        <f>'Zwischen Rechnung Setupkosten'!$E25</f>
        <v>0</v>
      </c>
    </row>
    <row r="26" spans="1:5" ht="19.5" thickBot="1" x14ac:dyDescent="0.4">
      <c r="A26" s="33" t="s">
        <v>14</v>
      </c>
      <c r="B26" s="34"/>
      <c r="C26" s="35" t="s">
        <v>15</v>
      </c>
    </row>
    <row r="27" spans="1:5" ht="18.75" x14ac:dyDescent="0.35">
      <c r="A27" s="36" t="s">
        <v>16</v>
      </c>
      <c r="B27" s="37"/>
      <c r="C27" s="38">
        <f>Server1!C9+Server2!C9+Server3!C9+Server4!C9+Server5!C9+Server6!C9+Server7!C9+Server8!C9+Server9!C9+Server10!C9</f>
        <v>0</v>
      </c>
    </row>
    <row r="28" spans="1:5" ht="18.75" x14ac:dyDescent="0.35">
      <c r="A28" s="36" t="s">
        <v>17</v>
      </c>
      <c r="B28" s="37"/>
      <c r="C28" s="38">
        <f>Server1!C10+Server1!C11+Server1!C16+Server2!C10+Server2!C11+Server2!C16+Server3!C10+Server3!C11+Server3!C16+Server4!C10+Server4!C11+Server4!C16+Server5!C10+Server5!C11+Server5!C16+Server6!C10+Server6!C11+Server6!C16+Server7!C10+Server7!C11+Server7!C16+Server8!C10+Server8!C11+Server8!C16+Server9!C10+Server9!C11+Server9!C16+Server10!C10+Server10!C11+Server10!C16</f>
        <v>0</v>
      </c>
    </row>
    <row r="29" spans="1:5" ht="18.75" x14ac:dyDescent="0.35">
      <c r="A29" s="36" t="s">
        <v>18</v>
      </c>
      <c r="B29" s="37"/>
      <c r="C29" s="38">
        <f>Server1!C12+Server1!C13+Server1!C14+Server1!C15+Server2!C12+Server2!C13+Server2!C14+Server2!C15+Server3!C12+Server3!C13+Server3!C14+Server3!C15+Server4!C12+Server4!C13+Server4!C14+Server4!C15+Server5!C12+Server5!C13+Server5!C14+Server5!C15+Server6!C12+Server6!C13+Server6!C14+Server6!C15+Server7!C12+Server7!C13+Server7!C14+Server7!C15+Server8!C12+Server8!C13+Server8!C14+Server8!C15+Server9!C12+Server9!C13+Server9!C14+Server9!C15+Server10!C12+Server10!C13+Server10!C14+Server10!C15</f>
        <v>0</v>
      </c>
    </row>
    <row r="30" spans="1:5" ht="18.75" x14ac:dyDescent="0.35">
      <c r="A30" s="36" t="s">
        <v>19</v>
      </c>
      <c r="B30" s="37"/>
      <c r="C30" s="38">
        <f>C19+C22</f>
        <v>0</v>
      </c>
    </row>
    <row r="31" spans="1:5" ht="18.75" x14ac:dyDescent="0.35">
      <c r="A31" s="36" t="s">
        <v>20</v>
      </c>
      <c r="B31" s="37"/>
      <c r="C31" s="38">
        <f>Server1!C17+Server1!C18+Server2!C17+Server2!C18+Server3!C17+Server3!C18+Server4!C17+Server4!C18+Server5!C17+Server5!C18+Server6!C17+Server6!C18+Server7!C17+Server7!C18+Server8!C17+Server8!C18+Server9!C17+Server9!C18+Server10!C17+Server10!C18+C18</f>
        <v>0</v>
      </c>
    </row>
    <row r="32" spans="1:5" ht="18.75" x14ac:dyDescent="0.35">
      <c r="A32" s="36" t="s">
        <v>11</v>
      </c>
      <c r="B32" s="37"/>
      <c r="C32" s="38">
        <f>C23</f>
        <v>0</v>
      </c>
    </row>
    <row r="33" spans="1:4" ht="19.5" thickBot="1" x14ac:dyDescent="0.4">
      <c r="A33" s="36" t="s">
        <v>21</v>
      </c>
      <c r="B33" s="37"/>
      <c r="C33" s="38">
        <f>C21+C20+C17+C16+C15</f>
        <v>0</v>
      </c>
      <c r="D33" s="24"/>
    </row>
    <row r="34" spans="1:4" ht="18.75" x14ac:dyDescent="0.35">
      <c r="A34" s="39" t="s">
        <v>22</v>
      </c>
      <c r="B34" s="40"/>
      <c r="C34" s="41">
        <f>CPUs+[0]!CPUs+[0]!CPUs+[0]!CPUs+[0]!CPUs+[0]!CPUs+[0]!CPUs+[0]!CPUs+[0]!CPUs+[0]!CPUs</f>
        <v>0</v>
      </c>
    </row>
    <row r="35" spans="1:4" ht="18.75" x14ac:dyDescent="0.35">
      <c r="A35" s="42" t="s">
        <v>23</v>
      </c>
      <c r="B35" s="43"/>
      <c r="C35" s="44">
        <f>Server1!B8+Server2!B8+Server3!B8+Server4!B8+Server5!B8+Server6!B8+Server7!B8+Server8!B8+Server9!B8+Server10!B8</f>
        <v>0</v>
      </c>
    </row>
    <row r="36" spans="1:4" ht="18.75" x14ac:dyDescent="0.35">
      <c r="A36" s="42" t="s">
        <v>24</v>
      </c>
      <c r="B36" s="43"/>
      <c r="C36" s="44">
        <f>Server1!B10+Server2!B10+Server3!B10+Server4!B10+Server5!B10+Server6!B10+Server7!B10+Server8!B10+Server9!B10+Server10!B10</f>
        <v>0</v>
      </c>
    </row>
    <row r="37" spans="1:4" ht="18.75" x14ac:dyDescent="0.35">
      <c r="A37" s="42" t="s">
        <v>25</v>
      </c>
      <c r="B37" s="43"/>
      <c r="C37" s="44">
        <f>Server1!B11+Server2!B11+Server3!B11+Server4!B11+Server5!B11+Server6!B11+Server7!B11+Server8!B11+Server9!B11+Server10!B11</f>
        <v>0</v>
      </c>
    </row>
    <row r="38" spans="1:4" ht="19.5" thickBot="1" x14ac:dyDescent="0.4">
      <c r="A38" s="45" t="s">
        <v>26</v>
      </c>
      <c r="B38" s="46"/>
      <c r="C38" s="47">
        <f>(Server1!C16+Server2!C16+Server3!C16+Server4!C16+Server5!C16+Server6!C16+Server7!C16+Server8!C16+Server9!C16+Server10!C16)/Preise!B18</f>
        <v>0</v>
      </c>
    </row>
  </sheetData>
  <sheetProtection selectLockedCells="1"/>
  <dataValidations count="1">
    <dataValidation type="list" allowBlank="1" showInputMessage="1" showErrorMessage="1" sqref="B15 B18:B19" xr:uid="{88651C07-AE44-488C-95D5-BDE4BA8B4C3B}">
      <formula1>"Ja, Nein"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&amp;L&amp;"Montserrat SemiBold,Fett"&amp;16&amp;K5F5748Cloud Services Übersicht&amp;R&amp;G</oddHeader>
    <oddFooter>&amp;R&amp;"Montserrat,Standard"&amp;K5F5748Acronum GmbH | Hauptplatz 8c | 7400 Oberwart
www.acronum.com | support@acronum.com | +43 5 9084 888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C461-FDA4-4EAE-83C6-B35FEFAAA9D4}">
  <sheetPr codeName="Tabelle2"/>
  <dimension ref="A1:F15"/>
  <sheetViews>
    <sheetView view="pageLayout" zoomScaleNormal="100" workbookViewId="0"/>
  </sheetViews>
  <sheetFormatPr baseColWidth="10" defaultColWidth="11.42578125" defaultRowHeight="18" x14ac:dyDescent="0.35"/>
  <cols>
    <col min="1" max="1" width="18.85546875" style="1" bestFit="1" customWidth="1"/>
    <col min="2" max="2" width="24" style="1" bestFit="1" customWidth="1"/>
    <col min="3" max="3" width="12" style="1" customWidth="1"/>
    <col min="4" max="4" width="11.7109375" style="1" customWidth="1"/>
    <col min="5" max="6" width="31.140625" style="1" bestFit="1" customWidth="1"/>
    <col min="7" max="16384" width="11.42578125" style="1"/>
  </cols>
  <sheetData>
    <row r="1" spans="1:6" x14ac:dyDescent="0.35">
      <c r="C1" s="2"/>
    </row>
    <row r="2" spans="1:6" x14ac:dyDescent="0.35">
      <c r="C2" s="2"/>
    </row>
    <row r="3" spans="1:6" x14ac:dyDescent="0.35">
      <c r="C3" s="2"/>
    </row>
    <row r="5" spans="1:6" s="3" customFormat="1" ht="15.75" x14ac:dyDescent="0.25">
      <c r="A5" s="5" t="s">
        <v>27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101</v>
      </c>
    </row>
    <row r="6" spans="1:6" s="4" customFormat="1" ht="18.75" x14ac:dyDescent="0.35">
      <c r="A6" s="7" t="str">
        <f>Server1!C6</f>
        <v>Name1</v>
      </c>
      <c r="B6" s="8">
        <v>99.6</v>
      </c>
      <c r="C6" s="7"/>
      <c r="D6" s="8">
        <f>IF(Gesamtkosten!C5&lt;&gt;"0",IF(Server1!$B$10&gt;1000,4,2),"")</f>
        <v>2</v>
      </c>
      <c r="E6" s="7">
        <f>IF(B6&lt;&gt;"",365*24*(100-B6)/100,"")</f>
        <v>35.040000000000504</v>
      </c>
      <c r="F6" s="8">
        <f>IF(A6&lt;&gt;"",IF(B6=99.9,3,1),"")</f>
        <v>1</v>
      </c>
    </row>
    <row r="7" spans="1:6" s="4" customFormat="1" ht="18.75" x14ac:dyDescent="0.35">
      <c r="A7" s="7" t="s">
        <v>52</v>
      </c>
      <c r="B7" s="8">
        <v>99.6</v>
      </c>
      <c r="C7" s="7"/>
      <c r="D7" s="8">
        <f>IF(Gesamtkosten!C6&lt;&gt;"0",IF(Server2!$B$10&gt;1000,4,2),"")</f>
        <v>2</v>
      </c>
      <c r="E7" s="7">
        <f t="shared" ref="E7:E15" si="0">IF(B7&lt;&gt;"",365*24*(100-B7)/100,"")</f>
        <v>35.040000000000504</v>
      </c>
      <c r="F7" s="8">
        <f t="shared" ref="F7:F15" si="1">IF(A7&lt;&gt;"",IF(B7=99.9,3,1),"")</f>
        <v>1</v>
      </c>
    </row>
    <row r="8" spans="1:6" s="4" customFormat="1" ht="18.75" x14ac:dyDescent="0.35">
      <c r="A8" s="7" t="s">
        <v>53</v>
      </c>
      <c r="B8" s="8">
        <v>99.6</v>
      </c>
      <c r="C8" s="7"/>
      <c r="D8" s="8">
        <f>IF(Gesamtkosten!C7&lt;&gt;"0",IF(Server3!$B$10&gt;1000,4,2),"")</f>
        <v>2</v>
      </c>
      <c r="E8" s="7">
        <f t="shared" si="0"/>
        <v>35.040000000000504</v>
      </c>
      <c r="F8" s="8">
        <f t="shared" si="1"/>
        <v>1</v>
      </c>
    </row>
    <row r="9" spans="1:6" s="4" customFormat="1" ht="18.75" x14ac:dyDescent="0.35">
      <c r="A9" s="7" t="s">
        <v>54</v>
      </c>
      <c r="B9" s="8">
        <v>99.6</v>
      </c>
      <c r="C9" s="7"/>
      <c r="D9" s="8">
        <f>IF(Gesamtkosten!C8&lt;&gt;"0",IF(Server4!$B$10&gt;1000,4,2),"")</f>
        <v>2</v>
      </c>
      <c r="E9" s="7">
        <f t="shared" si="0"/>
        <v>35.040000000000504</v>
      </c>
      <c r="F9" s="8">
        <f t="shared" si="1"/>
        <v>1</v>
      </c>
    </row>
    <row r="10" spans="1:6" s="4" customFormat="1" ht="18.75" x14ac:dyDescent="0.35">
      <c r="A10" s="7" t="s">
        <v>55</v>
      </c>
      <c r="B10" s="8">
        <v>99.6</v>
      </c>
      <c r="C10" s="7"/>
      <c r="D10" s="8">
        <f>IF(Gesamtkosten!C9&lt;&gt;"0",IF(Server5!$B$10&gt;1000,4,2),"")</f>
        <v>2</v>
      </c>
      <c r="E10" s="7">
        <f t="shared" si="0"/>
        <v>35.040000000000504</v>
      </c>
      <c r="F10" s="8">
        <f t="shared" si="1"/>
        <v>1</v>
      </c>
    </row>
    <row r="11" spans="1:6" s="4" customFormat="1" ht="18.75" x14ac:dyDescent="0.35">
      <c r="A11" s="7" t="s">
        <v>56</v>
      </c>
      <c r="B11" s="8">
        <v>99.6</v>
      </c>
      <c r="C11" s="7"/>
      <c r="D11" s="8">
        <f>IF(Gesamtkosten!C10&lt;&gt;"0",IF(Server6!$B$10&gt;1000,4,2),"")</f>
        <v>2</v>
      </c>
      <c r="E11" s="7">
        <f t="shared" si="0"/>
        <v>35.040000000000504</v>
      </c>
      <c r="F11" s="8">
        <f t="shared" si="1"/>
        <v>1</v>
      </c>
    </row>
    <row r="12" spans="1:6" s="4" customFormat="1" ht="18.75" x14ac:dyDescent="0.35">
      <c r="A12" s="7" t="s">
        <v>57</v>
      </c>
      <c r="B12" s="8">
        <v>99.6</v>
      </c>
      <c r="C12" s="7"/>
      <c r="D12" s="8">
        <f>IF(Gesamtkosten!C11&lt;&gt;"0",IF(Server7!$B$10&gt;1000,4,2),"")</f>
        <v>2</v>
      </c>
      <c r="E12" s="7">
        <f t="shared" si="0"/>
        <v>35.040000000000504</v>
      </c>
      <c r="F12" s="8">
        <f t="shared" si="1"/>
        <v>1</v>
      </c>
    </row>
    <row r="13" spans="1:6" s="4" customFormat="1" ht="18.75" x14ac:dyDescent="0.35">
      <c r="A13" s="7" t="s">
        <v>58</v>
      </c>
      <c r="B13" s="8">
        <v>99.6</v>
      </c>
      <c r="C13" s="7"/>
      <c r="D13" s="8">
        <f>IF(Gesamtkosten!C12&lt;&gt;"0",IF(Server8!$B$10&gt;1000,4,2),"")</f>
        <v>2</v>
      </c>
      <c r="E13" s="7">
        <f t="shared" si="0"/>
        <v>35.040000000000504</v>
      </c>
      <c r="F13" s="8">
        <f t="shared" si="1"/>
        <v>1</v>
      </c>
    </row>
    <row r="14" spans="1:6" s="4" customFormat="1" ht="18.75" x14ac:dyDescent="0.35">
      <c r="A14" s="7" t="s">
        <v>59</v>
      </c>
      <c r="B14" s="8">
        <v>99.6</v>
      </c>
      <c r="C14" s="7"/>
      <c r="D14" s="8">
        <f>IF(Gesamtkosten!C13&lt;&gt;"0",IF(Server9!$B$10&gt;1000,4,2),"")</f>
        <v>2</v>
      </c>
      <c r="E14" s="7">
        <f t="shared" si="0"/>
        <v>35.040000000000504</v>
      </c>
      <c r="F14" s="8">
        <f t="shared" si="1"/>
        <v>1</v>
      </c>
    </row>
    <row r="15" spans="1:6" s="4" customFormat="1" ht="18.75" x14ac:dyDescent="0.35">
      <c r="A15" s="7" t="s">
        <v>60</v>
      </c>
      <c r="B15" s="8">
        <v>99.6</v>
      </c>
      <c r="C15" s="7"/>
      <c r="D15" s="8">
        <f>IF(Gesamtkosten!C14&lt;&gt;"0",IF(Server10!$B$10&gt;1000,4,2),"")</f>
        <v>2</v>
      </c>
      <c r="E15" s="7">
        <f t="shared" si="0"/>
        <v>35.040000000000504</v>
      </c>
      <c r="F15" s="8">
        <f t="shared" si="1"/>
        <v>1</v>
      </c>
    </row>
  </sheetData>
  <sheetProtection algorithmName="SHA-512" hashValue="MQGi+02O2LkvUzuukxt3GmeLoEiZUU2k2VeYHVWCZvfWcUTcaK6ybOiXda2RjQM+FUStC9R26saXdka7GLeJ7w==" saltValue="aZ7sHXoyDhYk/2AxDpx0ow==" spinCount="100000" sheet="1" objects="1" scenarios="1" selectLockedCells="1"/>
  <phoneticPr fontId="4" type="noConversion"/>
  <pageMargins left="0.7" right="0.7" top="0.78740157499999996" bottom="0.78740157499999996" header="0.3" footer="0.3"/>
  <pageSetup paperSize="9" orientation="landscape" r:id="rId1"/>
  <headerFooter>
    <oddHeader>&amp;L&amp;"Montserrat,Fett"&amp;14SLA-Matrix&amp;R&amp;G</oddHeader>
    <oddFooter>&amp;R&amp;"Montserrat,Standard"&amp;K5F5748Acronum GmbH | Hauptplatz 8c | 7400 Oberwart
www.acronum.com | support@acronum.com | +43 5 9084 888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713C-1DC3-41FB-9D1A-FDCCF178CF80}">
  <sheetPr codeName="Tabelle3"/>
  <dimension ref="A1:F24"/>
  <sheetViews>
    <sheetView view="pageLayout" zoomScaleNormal="100" workbookViewId="0">
      <selection activeCell="B3" sqref="B3"/>
    </sheetView>
  </sheetViews>
  <sheetFormatPr baseColWidth="10" defaultColWidth="11.42578125" defaultRowHeight="18" x14ac:dyDescent="0.35"/>
  <cols>
    <col min="1" max="1" width="36.28515625" style="1" bestFit="1" customWidth="1"/>
    <col min="2" max="2" width="6.28515625" style="1" bestFit="1" customWidth="1"/>
    <col min="3" max="3" width="15.42578125" style="1" customWidth="1"/>
    <col min="4" max="4" width="17.28515625" style="1" customWidth="1"/>
    <col min="5" max="5" width="15.28515625" style="1" customWidth="1"/>
    <col min="6" max="6" width="50" style="1" customWidth="1"/>
    <col min="7" max="16384" width="11.42578125" style="1"/>
  </cols>
  <sheetData>
    <row r="1" spans="1:6" ht="22.15" customHeight="1" thickBot="1" x14ac:dyDescent="0.4"/>
    <row r="2" spans="1:6" s="90" customFormat="1" ht="15.75" thickBot="1" x14ac:dyDescent="0.3">
      <c r="A2" s="87" t="s">
        <v>32</v>
      </c>
      <c r="B2" s="88" t="s">
        <v>110</v>
      </c>
      <c r="C2" s="88" t="s">
        <v>114</v>
      </c>
      <c r="D2" s="88" t="s">
        <v>33</v>
      </c>
      <c r="E2" s="88" t="s">
        <v>13</v>
      </c>
      <c r="F2" s="89" t="s">
        <v>34</v>
      </c>
    </row>
    <row r="3" spans="1:6" x14ac:dyDescent="0.35">
      <c r="A3" s="91" t="s">
        <v>103</v>
      </c>
      <c r="B3" s="84">
        <v>0</v>
      </c>
      <c r="C3" s="92">
        <f>Preise!B30</f>
        <v>35</v>
      </c>
      <c r="D3" s="92">
        <f>C3*B3</f>
        <v>0</v>
      </c>
      <c r="E3" s="93">
        <f>IF(B3=0,0,160)</f>
        <v>0</v>
      </c>
      <c r="F3" s="94" t="s">
        <v>105</v>
      </c>
    </row>
    <row r="4" spans="1:6" ht="36" x14ac:dyDescent="0.35">
      <c r="A4" s="95" t="s">
        <v>83</v>
      </c>
      <c r="B4" s="85">
        <v>0</v>
      </c>
      <c r="C4" s="92">
        <f>Preise!B31</f>
        <v>0.13</v>
      </c>
      <c r="D4" s="93">
        <f t="shared" ref="D4:D15" si="0">C4*B4</f>
        <v>0</v>
      </c>
      <c r="E4" s="93">
        <f>IF(B4=0,0,160)</f>
        <v>0</v>
      </c>
      <c r="F4" s="96" t="s">
        <v>104</v>
      </c>
    </row>
    <row r="5" spans="1:6" ht="36" x14ac:dyDescent="0.35">
      <c r="A5" s="95" t="s">
        <v>35</v>
      </c>
      <c r="B5" s="85">
        <v>0</v>
      </c>
      <c r="C5" s="92">
        <f>Preise!B32</f>
        <v>4.2</v>
      </c>
      <c r="D5" s="93">
        <f t="shared" si="0"/>
        <v>0</v>
      </c>
      <c r="E5" s="93">
        <f>IF(B5=0,0,320)</f>
        <v>0</v>
      </c>
      <c r="F5" s="96" t="s">
        <v>142</v>
      </c>
    </row>
    <row r="6" spans="1:6" ht="36" x14ac:dyDescent="0.35">
      <c r="A6" s="95" t="s">
        <v>36</v>
      </c>
      <c r="B6" s="85">
        <v>0</v>
      </c>
      <c r="C6" s="92">
        <f>Preise!B33</f>
        <v>3.35</v>
      </c>
      <c r="D6" s="93">
        <f t="shared" si="0"/>
        <v>0</v>
      </c>
      <c r="E6" s="93">
        <f>IF(B6=0,0,320)</f>
        <v>0</v>
      </c>
      <c r="F6" s="96" t="s">
        <v>164</v>
      </c>
    </row>
    <row r="7" spans="1:6" ht="36" x14ac:dyDescent="0.35">
      <c r="A7" s="95" t="s">
        <v>37</v>
      </c>
      <c r="B7" s="85">
        <v>0</v>
      </c>
      <c r="C7" s="92">
        <f>Preise!B27</f>
        <v>8.5</v>
      </c>
      <c r="D7" s="93">
        <f t="shared" si="0"/>
        <v>0</v>
      </c>
      <c r="E7" s="93">
        <f>IF(B7=0,0,160)</f>
        <v>0</v>
      </c>
      <c r="F7" s="96" t="s">
        <v>165</v>
      </c>
    </row>
    <row r="8" spans="1:6" ht="36" x14ac:dyDescent="0.35">
      <c r="A8" s="95" t="s">
        <v>113</v>
      </c>
      <c r="B8" s="85">
        <v>0</v>
      </c>
      <c r="C8" s="92">
        <v>150</v>
      </c>
      <c r="D8" s="93">
        <f t="shared" ref="D8" si="1">C8*B8</f>
        <v>0</v>
      </c>
      <c r="E8" s="93">
        <f>IF(B8=0,0,160)</f>
        <v>0</v>
      </c>
      <c r="F8" s="96" t="s">
        <v>165</v>
      </c>
    </row>
    <row r="9" spans="1:6" ht="36" x14ac:dyDescent="0.35">
      <c r="A9" s="95" t="s">
        <v>38</v>
      </c>
      <c r="B9" s="85">
        <v>0</v>
      </c>
      <c r="C9" s="92">
        <f>Preise!B38</f>
        <v>4.2</v>
      </c>
      <c r="D9" s="93">
        <f t="shared" si="0"/>
        <v>0</v>
      </c>
      <c r="E9" s="93">
        <f>IF(B9=0,0,160)</f>
        <v>0</v>
      </c>
      <c r="F9" s="96" t="s">
        <v>144</v>
      </c>
    </row>
    <row r="10" spans="1:6" ht="36" x14ac:dyDescent="0.35">
      <c r="A10" s="95" t="s">
        <v>39</v>
      </c>
      <c r="B10" s="85">
        <v>0</v>
      </c>
      <c r="C10" s="92">
        <f>Preise!B37</f>
        <v>6.7</v>
      </c>
      <c r="D10" s="93">
        <f t="shared" si="0"/>
        <v>0</v>
      </c>
      <c r="E10" s="93">
        <f>IF(B10=0,0,480)</f>
        <v>0</v>
      </c>
      <c r="F10" s="96" t="s">
        <v>145</v>
      </c>
    </row>
    <row r="11" spans="1:6" x14ac:dyDescent="0.35">
      <c r="A11" s="95" t="s">
        <v>148</v>
      </c>
      <c r="B11" s="85">
        <v>0</v>
      </c>
      <c r="C11" s="92">
        <f>Preise!B25</f>
        <v>12.06</v>
      </c>
      <c r="D11" s="93">
        <f t="shared" si="0"/>
        <v>0</v>
      </c>
      <c r="E11" s="93">
        <f>IF(B11=0,0,160)</f>
        <v>0</v>
      </c>
      <c r="F11" s="96" t="s">
        <v>149</v>
      </c>
    </row>
    <row r="12" spans="1:6" x14ac:dyDescent="0.35">
      <c r="A12" s="95" t="s">
        <v>40</v>
      </c>
      <c r="B12" s="85">
        <v>0</v>
      </c>
      <c r="C12" s="92">
        <f>Preise!B39</f>
        <v>2.7872000000000003</v>
      </c>
      <c r="D12" s="93">
        <f t="shared" si="0"/>
        <v>0</v>
      </c>
      <c r="E12" s="93">
        <f>IF(B12=0,0,320)</f>
        <v>0</v>
      </c>
      <c r="F12" s="96" t="s">
        <v>106</v>
      </c>
    </row>
    <row r="13" spans="1:6" ht="36" x14ac:dyDescent="0.35">
      <c r="A13" s="95" t="s">
        <v>107</v>
      </c>
      <c r="B13" s="85">
        <v>0</v>
      </c>
      <c r="C13" s="92">
        <f>Preise!B40</f>
        <v>6.7</v>
      </c>
      <c r="D13" s="93">
        <f t="shared" si="0"/>
        <v>0</v>
      </c>
      <c r="E13" s="93">
        <f>IF(B13=0,0,320)</f>
        <v>0</v>
      </c>
      <c r="F13" s="96" t="s">
        <v>152</v>
      </c>
    </row>
    <row r="14" spans="1:6" ht="36" x14ac:dyDescent="0.35">
      <c r="A14" s="95" t="s">
        <v>108</v>
      </c>
      <c r="B14" s="85">
        <v>0</v>
      </c>
      <c r="C14" s="92">
        <f>Preise!B41</f>
        <v>13400</v>
      </c>
      <c r="D14" s="93">
        <f t="shared" si="0"/>
        <v>0</v>
      </c>
      <c r="E14" s="93">
        <f>IF(B14=0,0,500)</f>
        <v>0</v>
      </c>
      <c r="F14" s="96" t="s">
        <v>166</v>
      </c>
    </row>
    <row r="15" spans="1:6" ht="18.75" thickBot="1" x14ac:dyDescent="0.4">
      <c r="A15" s="97"/>
      <c r="B15" s="86">
        <v>0</v>
      </c>
      <c r="C15" s="98"/>
      <c r="D15" s="99">
        <f t="shared" si="0"/>
        <v>0</v>
      </c>
      <c r="E15" s="99">
        <v>0</v>
      </c>
      <c r="F15" s="100"/>
    </row>
    <row r="16" spans="1:6" s="90" customFormat="1" ht="15.75" thickBot="1" x14ac:dyDescent="0.3">
      <c r="A16" s="101" t="s">
        <v>41</v>
      </c>
      <c r="B16" s="102"/>
      <c r="C16" s="103"/>
      <c r="D16" s="103">
        <f>SUM(D3:D15)</f>
        <v>0</v>
      </c>
      <c r="E16" s="103">
        <f>SUM(E3:E15)</f>
        <v>0</v>
      </c>
      <c r="F16" s="104"/>
    </row>
    <row r="19" spans="1:6" x14ac:dyDescent="0.35">
      <c r="A19" s="117" t="s">
        <v>143</v>
      </c>
      <c r="B19" s="117"/>
      <c r="C19" s="117"/>
      <c r="D19" s="105"/>
      <c r="E19" s="105"/>
      <c r="F19" s="105"/>
    </row>
    <row r="20" spans="1:6" ht="18" customHeight="1" x14ac:dyDescent="0.35">
      <c r="A20" s="117" t="s">
        <v>151</v>
      </c>
      <c r="B20" s="117"/>
      <c r="C20" s="117"/>
      <c r="D20" s="117"/>
      <c r="E20" s="117"/>
      <c r="F20" s="117"/>
    </row>
    <row r="21" spans="1:6" ht="18" customHeight="1" x14ac:dyDescent="0.35">
      <c r="A21" s="117" t="s">
        <v>146</v>
      </c>
      <c r="B21" s="117"/>
      <c r="C21" s="117"/>
      <c r="D21" s="105"/>
      <c r="E21" s="105"/>
      <c r="F21" s="105"/>
    </row>
    <row r="22" spans="1:6" ht="18" customHeight="1" x14ac:dyDescent="0.35">
      <c r="A22" s="105" t="s">
        <v>147</v>
      </c>
      <c r="B22" s="105"/>
      <c r="C22" s="105"/>
      <c r="D22" s="105"/>
      <c r="E22" s="105"/>
      <c r="F22" s="105"/>
    </row>
    <row r="23" spans="1:6" ht="18" customHeight="1" x14ac:dyDescent="0.35">
      <c r="A23" s="117" t="s">
        <v>153</v>
      </c>
      <c r="B23" s="117"/>
      <c r="C23" s="117"/>
      <c r="D23" s="117"/>
      <c r="E23" s="117"/>
      <c r="F23" s="117"/>
    </row>
    <row r="24" spans="1:6" x14ac:dyDescent="0.35">
      <c r="A24" s="105" t="s">
        <v>150</v>
      </c>
      <c r="B24" s="105"/>
      <c r="C24" s="105"/>
      <c r="D24" s="105"/>
      <c r="E24" s="105"/>
      <c r="F24" s="105"/>
    </row>
  </sheetData>
  <sheetProtection algorithmName="SHA-512" hashValue="L9r42rJdQSZVoBLiD94dB3jQAp7+5s1oAMOf/YO8S/NkIJg5ATfDGAmMwb4zvTA2DWbrhRXV0pTfyGTIXtCd3A==" saltValue="XR+aCkPAEgZvUPqa0t+JMQ==" spinCount="100000" sheet="1" objects="1" scenarios="1" selectLockedCells="1"/>
  <mergeCells count="4">
    <mergeCell ref="A19:C19"/>
    <mergeCell ref="A21:C21"/>
    <mergeCell ref="A20:F20"/>
    <mergeCell ref="A23:F23"/>
  </mergeCells>
  <pageMargins left="0.25" right="0.25" top="0.75" bottom="0.75" header="0.3" footer="0.3"/>
  <pageSetup paperSize="9" orientation="landscape" r:id="rId1"/>
  <headerFooter>
    <oddHeader>&amp;L&amp;"Montserrat,Fett"&amp;14&amp;K796F5DSLA-Matrix&amp;R&amp;G</oddHeader>
    <oddFooter>&amp;R&amp;"Montserrat,Standard"&amp;K5F5749Acronum GmbH | Hauptplatz 8c | 7400 Oberwart
www.acronum.com | support@acronum.com | +43 5 9084 888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022FA-056D-4C0E-94AF-1506B231AFFF}">
  <sheetPr codeName="Tabelle4"/>
  <dimension ref="A1:D27"/>
  <sheetViews>
    <sheetView tabSelected="1"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154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TM9AaPf84Hlo4uOto+iditWEzAenvVOc/i5/zc6Emllh09ag+Qf/0wtPoSR8D1VazzoBc7NRnAPt9aITOm/OEw==" saltValue="4sLkzK4ZtZkaIf3YeZhGRg==" spinCount="100000" sheet="1" objects="1" scenarios="1" selectLockedCells="1"/>
  <mergeCells count="5">
    <mergeCell ref="A23:C23"/>
    <mergeCell ref="A25:C25"/>
    <mergeCell ref="A26:C26"/>
    <mergeCell ref="A24:C24"/>
    <mergeCell ref="A27:C27"/>
  </mergeCells>
  <dataValidations count="2">
    <dataValidation type="list" allowBlank="1" showInputMessage="1" showErrorMessage="1" sqref="B12 B15 B17:B18" xr:uid="{B203FE2C-A619-4EEF-A744-49AFD0B1A76D}">
      <formula1>"Ja, Nein"</formula1>
    </dataValidation>
    <dataValidation type="list" allowBlank="1" showInputMessage="1" showErrorMessage="1" sqref="B16" xr:uid="{F2EC5983-D937-42DF-85C7-F821E1C42D1B}">
      <formula1>"4 Tage, 14 Tage, 30 Tage"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2D011-1FE4-45F4-99E1-785055C77231}">
  <sheetPr codeName="Tabelle5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52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CZEm+mdig7aS92LJBD7S25N9I86Kfe/Yqrnx92eIBjAijJyPChEN3t7RhLYyimiQ1rmmxY+OKQ3ou3WVxchxfQ==" saltValue="13j9Qh3vNe72oslzEvCbHg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F94B925D-7784-4B52-B6F0-72CF2E167ACB}">
      <formula1>"4 Tage, 14 Tage, 30 Tage"</formula1>
    </dataValidation>
    <dataValidation type="list" allowBlank="1" showInputMessage="1" showErrorMessage="1" sqref="B12 B15 B17:B18" xr:uid="{5319CBEE-C5D1-4DEA-9081-36314E2D5483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A34E-5594-441A-B86F-BBE0FE99B2B6}">
  <sheetPr codeName="Tabelle6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53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oq1D5/ZUL4HRUQ2NCCT8fE55GiL5PxhexpOP88IqnlvAWe9Wbj65YW4MWY5sRE7/JZg167MVKZT39qlNHFSfng==" saltValue="XVAOvYDXiWfapn73P+TlTw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591AB907-AC86-4C70-9F05-CE960F7B3809}">
      <formula1>"4 Tage, 14 Tage, 30 Tage"</formula1>
    </dataValidation>
    <dataValidation type="list" allowBlank="1" showInputMessage="1" showErrorMessage="1" sqref="B12 B15 B17:B18" xr:uid="{BDBEDCF1-4DBE-466E-A96E-C21FC5142297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0E9E-4B62-4715-8011-061D12102FEA}">
  <sheetPr codeName="Tabelle7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54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l1vidTF7CDEgTtzm0FJpAgohqFlemOhNtdyhbTYgCL39COSPRzEGpZESfChrotEFwBJ4vFU06qB8EChHk7irSQ==" saltValue="1a3arzbAixCQkpBYvWb+Jg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C3F19252-CA9F-452C-B233-4EEEE49BD3C7}">
      <formula1>"4 Tage, 14 Tage, 30 Tage"</formula1>
    </dataValidation>
    <dataValidation type="list" allowBlank="1" showInputMessage="1" showErrorMessage="1" sqref="B12 B15 B17:B18" xr:uid="{02D3CAAE-6470-42F1-B586-EB15FD1DD423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54F0-6C85-400C-9515-CD137EA9721C}">
  <sheetPr codeName="Tabelle8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55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0GZi1686/lhHB6UKoZBIslSjHvVigGmpAxx4HCA20EU18hoN66I6InoqC/MhUYPl20UXRUKNriBDAJ8MPS5OhQ==" saltValue="R+KwQeWNi04h+q4r56P1NA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782B2D2B-5E79-4758-8289-7890155C304B}">
      <formula1>"4 Tage, 14 Tage, 30 Tage"</formula1>
    </dataValidation>
    <dataValidation type="list" allowBlank="1" showInputMessage="1" showErrorMessage="1" sqref="B12 B15 B17:B18" xr:uid="{74CDC5AA-941A-4B94-B4E7-808E4BBDE644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9755-8A71-4E4B-8DA6-6C9F404F6B6E}">
  <sheetPr codeName="Tabelle9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56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p24abBgA4n7/+h3pOIO0jsbEDvFjI1C2sz4b18BNu0ozFDtRVd0fWWXwG/+/Ilo7Ot16iE3bVcwD7KXe6E5nvg==" saltValue="WUnVvlp9zZHRTGAxi6YvKw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C1A939AB-8CFF-49BF-A583-6345721DCC78}">
      <formula1>"4 Tage, 14 Tage, 30 Tage"</formula1>
    </dataValidation>
    <dataValidation type="list" allowBlank="1" showInputMessage="1" showErrorMessage="1" sqref="B12 B15 B17:B18" xr:uid="{E2D03EC3-35A2-43A6-A276-FCC36FBE7DE5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FDA5-64C4-46DA-A7D0-58AA69F327CE}">
  <sheetPr codeName="Tabelle10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57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fprzc2H+ls3HOBCzM5sWy+LJt04tq/GAK7Lz6V7L511lhN2dr/NkI5e0tC/balP0u8S+zsHn/oq4dJ06L6Be8w==" saltValue="+/i4O9xYmlvE5L3VVLvZnw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4DE8EB9F-CC96-4E9B-9B5F-F08257B08715}">
      <formula1>"4 Tage, 14 Tage, 30 Tage"</formula1>
    </dataValidation>
    <dataValidation type="list" allowBlank="1" showInputMessage="1" showErrorMessage="1" sqref="B12 B15 B17:B18" xr:uid="{EA4101FB-4A8B-4033-9DA9-029783E686F6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B33F-B0FF-447C-A61C-FA2D2A14FC49}">
  <sheetPr codeName="Tabelle11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58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1vOlMUekhYtb4YgZ5S2OzaLyJObactjG8JVUxMz1peituIWQDf0JOQmqF41Z1YLP/q0oxA1NKoaL5BTsTFSqbQ==" saltValue="trXDs9Ty13MrAmdXglYAhg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172B4557-1245-4360-A37C-888AA16C2D3C}">
      <formula1>"4 Tage, 14 Tage, 30 Tage"</formula1>
    </dataValidation>
    <dataValidation type="list" allowBlank="1" showInputMessage="1" showErrorMessage="1" sqref="B12 B15 B17:B18" xr:uid="{5714D1F5-9156-4343-AE5A-491E5AA749AA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ED1D-F435-41BD-BF6A-8653FF308792}">
  <sheetPr codeName="Tabelle12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59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Ju59Jh2t8pLPZRHLqKm0IDuJwWNnMijaq0whSRsB4DoXWJjf+SC/r2ePJga4YbhiafaIT+wsZ5o+RfJM/i2K7w==" saltValue="b0dHhQ2JvqnG1Peyj2CSgA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87DC0225-6C98-41CD-BE00-9FFC67F58BAE}">
      <formula1>"4 Tage, 14 Tage, 30 Tage"</formula1>
    </dataValidation>
    <dataValidation type="list" allowBlank="1" showInputMessage="1" showErrorMessage="1" sqref="B12 B15 B17:B18" xr:uid="{50407A97-2A75-49F2-93BA-EF8007D6807C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B778-126F-4F92-89DB-7ED34F71DEE4}">
  <sheetPr codeName="Tabelle13"/>
  <dimension ref="A1:D27"/>
  <sheetViews>
    <sheetView view="pageLayout" zoomScaleNormal="100" workbookViewId="0">
      <selection activeCell="C6" sqref="C6"/>
    </sheetView>
  </sheetViews>
  <sheetFormatPr baseColWidth="10" defaultColWidth="10.28515625" defaultRowHeight="18" x14ac:dyDescent="0.35"/>
  <cols>
    <col min="1" max="1" width="45.140625" style="1" customWidth="1"/>
    <col min="2" max="2" width="12.5703125" style="1" customWidth="1"/>
    <col min="3" max="3" width="25" style="48" customWidth="1"/>
    <col min="4" max="16384" width="10.28515625" style="1"/>
  </cols>
  <sheetData>
    <row r="1" spans="1:3" x14ac:dyDescent="0.35">
      <c r="C1" s="11"/>
    </row>
    <row r="2" spans="1:3" x14ac:dyDescent="0.35">
      <c r="C2" s="11"/>
    </row>
    <row r="3" spans="1:3" x14ac:dyDescent="0.35">
      <c r="C3" s="11"/>
    </row>
    <row r="4" spans="1:3" x14ac:dyDescent="0.35">
      <c r="C4" s="11"/>
    </row>
    <row r="5" spans="1:3" ht="18.75" thickBot="1" x14ac:dyDescent="0.4">
      <c r="C5" s="11"/>
    </row>
    <row r="6" spans="1:3" ht="18.75" thickBot="1" x14ac:dyDescent="0.4">
      <c r="A6" s="106" t="s">
        <v>42</v>
      </c>
      <c r="B6" s="107"/>
      <c r="C6" s="116" t="s">
        <v>60</v>
      </c>
    </row>
    <row r="7" spans="1:3" ht="18.75" x14ac:dyDescent="0.35">
      <c r="A7" s="108" t="s">
        <v>43</v>
      </c>
      <c r="B7" s="55">
        <v>0</v>
      </c>
      <c r="C7" s="50">
        <f>IF(B7&gt;'interne Kalkulation'!B12,(B7-'interne Kalkulation'!B12)*Preise!B15,0)</f>
        <v>0</v>
      </c>
    </row>
    <row r="8" spans="1:3" ht="18.75" x14ac:dyDescent="0.35">
      <c r="A8" s="109" t="s">
        <v>44</v>
      </c>
      <c r="B8" s="56">
        <v>0</v>
      </c>
      <c r="C8" s="51">
        <f>IF(B8&gt;stdRAM,(B8-stdRAM)*Preise!B14,0)</f>
        <v>0</v>
      </c>
    </row>
    <row r="9" spans="1:3" ht="18.75" x14ac:dyDescent="0.35">
      <c r="A9" s="109" t="s">
        <v>45</v>
      </c>
      <c r="B9" s="9"/>
      <c r="C9" s="51">
        <f>IF(CPUs=0,0,IF(B8=0,0,(Preise!B8+SUM(C7:C8))))</f>
        <v>0</v>
      </c>
    </row>
    <row r="10" spans="1:3" ht="18.75" x14ac:dyDescent="0.35">
      <c r="A10" s="109" t="s">
        <v>102</v>
      </c>
      <c r="B10" s="57">
        <v>0</v>
      </c>
      <c r="C10" s="51">
        <f>IF(C9=0,0,B10*Preise!B16)</f>
        <v>0</v>
      </c>
    </row>
    <row r="11" spans="1:3" ht="18.75" x14ac:dyDescent="0.35">
      <c r="A11" s="109" t="s">
        <v>46</v>
      </c>
      <c r="B11" s="57">
        <v>0</v>
      </c>
      <c r="C11" s="51">
        <f>IF(C9=0,0,B11*Preise!B17)</f>
        <v>0</v>
      </c>
    </row>
    <row r="12" spans="1:3" ht="20.25" x14ac:dyDescent="0.35">
      <c r="A12" s="109" t="s">
        <v>158</v>
      </c>
      <c r="B12" s="58" t="s">
        <v>3</v>
      </c>
      <c r="C12" s="51">
        <f>IF(B12="Ja",IF(C9=0,0,IF(B7&lt;8,ROUND(8/2,0)*Preise!B9,ROUND(B7/2,0)*Preise!B9)),0)</f>
        <v>0</v>
      </c>
    </row>
    <row r="13" spans="1:3" ht="18.75" x14ac:dyDescent="0.35">
      <c r="A13" s="109" t="s">
        <v>47</v>
      </c>
      <c r="B13" s="57">
        <v>0</v>
      </c>
      <c r="C13" s="51">
        <f>IF(C9=0,0,B13*Preise!B10)</f>
        <v>0</v>
      </c>
    </row>
    <row r="14" spans="1:3" ht="18.75" x14ac:dyDescent="0.35">
      <c r="A14" s="109" t="s">
        <v>161</v>
      </c>
      <c r="B14" s="57">
        <v>0</v>
      </c>
      <c r="C14" s="51">
        <f>IF(C9=0,0,B14*Preise!B11)</f>
        <v>0</v>
      </c>
    </row>
    <row r="15" spans="1:3" ht="20.25" x14ac:dyDescent="0.35">
      <c r="A15" s="109" t="s">
        <v>159</v>
      </c>
      <c r="B15" s="58" t="s">
        <v>3</v>
      </c>
      <c r="C15" s="51">
        <f>IF(B15="Ja",IF(C9=0,0,ROUND(B7/2,0)*Preise!B12),0)</f>
        <v>0</v>
      </c>
    </row>
    <row r="16" spans="1:3" ht="18.75" x14ac:dyDescent="0.35">
      <c r="A16" s="109" t="s">
        <v>48</v>
      </c>
      <c r="B16" s="58" t="s">
        <v>49</v>
      </c>
      <c r="C16" s="51">
        <f>IF(B16="30 Tage",IF(C9=0,0,(B10+B11)*3*Preise!B18),IF(B16="14 Tage",IF(C9=0,0,(B10+B11)*2*Preise!B18),IF(C9=0,0,(B10+B11)*1.5*Preise!B18)))</f>
        <v>0</v>
      </c>
    </row>
    <row r="17" spans="1:4" ht="18.75" x14ac:dyDescent="0.35">
      <c r="A17" s="109" t="s">
        <v>50</v>
      </c>
      <c r="B17" s="58" t="s">
        <v>3</v>
      </c>
      <c r="C17" s="51">
        <f>IF(B17="Ja",IF(C9=0,0,Preise!B34),0)</f>
        <v>0</v>
      </c>
    </row>
    <row r="18" spans="1:4" ht="19.5" thickBot="1" x14ac:dyDescent="0.4">
      <c r="A18" s="110" t="s">
        <v>51</v>
      </c>
      <c r="B18" s="59" t="s">
        <v>3</v>
      </c>
      <c r="C18" s="52">
        <f>IF(B18="Ja",IF(C9=0,0,Preise!B35),0)</f>
        <v>0</v>
      </c>
    </row>
    <row r="19" spans="1:4" x14ac:dyDescent="0.35">
      <c r="A19" s="111" t="s">
        <v>41</v>
      </c>
      <c r="B19" s="112"/>
      <c r="C19" s="53">
        <f>SUM(C9:C18)</f>
        <v>0</v>
      </c>
      <c r="D19" s="24"/>
    </row>
    <row r="20" spans="1:4" s="115" customFormat="1" ht="19.5" thickBot="1" x14ac:dyDescent="0.4">
      <c r="A20" s="113" t="s">
        <v>13</v>
      </c>
      <c r="B20" s="114"/>
      <c r="C20" s="54">
        <f>IF(C19&gt;0,Preise!B36+C17+C18,0)</f>
        <v>0</v>
      </c>
    </row>
    <row r="23" spans="1:4" x14ac:dyDescent="0.35">
      <c r="A23" s="117" t="s">
        <v>157</v>
      </c>
      <c r="B23" s="117"/>
      <c r="C23" s="117"/>
    </row>
    <row r="24" spans="1:4" x14ac:dyDescent="0.35">
      <c r="A24" s="117" t="s">
        <v>160</v>
      </c>
      <c r="B24" s="117"/>
      <c r="C24" s="117"/>
    </row>
    <row r="25" spans="1:4" x14ac:dyDescent="0.35">
      <c r="A25" s="117" t="s">
        <v>162</v>
      </c>
      <c r="B25" s="117"/>
      <c r="C25" s="117"/>
    </row>
    <row r="26" spans="1:4" x14ac:dyDescent="0.35">
      <c r="A26" s="117" t="s">
        <v>139</v>
      </c>
      <c r="B26" s="117"/>
      <c r="C26" s="117"/>
    </row>
    <row r="27" spans="1:4" ht="36" customHeight="1" x14ac:dyDescent="0.35">
      <c r="A27" s="118" t="s">
        <v>167</v>
      </c>
      <c r="B27" s="118"/>
      <c r="C27" s="118"/>
    </row>
  </sheetData>
  <sheetProtection algorithmName="SHA-512" hashValue="RxR+6xZYy9+4/lENRYSIeXq2MoYZ9bRGvnAPbMVvDHzWsxZszqLEthciXKALFdU6htV2WQ8UvchnKYzTUG8BMw==" saltValue="yTPwG4cIt6lY1QrV2Hfusw==" spinCount="100000" sheet="1" objects="1" scenarios="1" selectLockedCells="1"/>
  <mergeCells count="5">
    <mergeCell ref="A23:C23"/>
    <mergeCell ref="A24:C24"/>
    <mergeCell ref="A25:C25"/>
    <mergeCell ref="A26:C26"/>
    <mergeCell ref="A27:C27"/>
  </mergeCells>
  <dataValidations count="2">
    <dataValidation type="list" allowBlank="1" showInputMessage="1" showErrorMessage="1" sqref="B16" xr:uid="{ECA78596-8691-457A-9066-5716B057CCE5}">
      <formula1>"4 Tage, 14 Tage, 30 Tage"</formula1>
    </dataValidation>
    <dataValidation type="list" allowBlank="1" showInputMessage="1" showErrorMessage="1" sqref="B12 B15 B17:B18" xr:uid="{931601A0-563B-49C2-8E93-138E9E095E57}">
      <formula1>"Ja, Nein"</formula1>
    </dataValidation>
  </dataValidations>
  <pageMargins left="0.7" right="0.7" top="0.78740157499999996" bottom="0.78740157499999996" header="0.3" footer="0.3"/>
  <pageSetup paperSize="9" orientation="portrait" horizontalDpi="313" verticalDpi="313" r:id="rId1"/>
  <headerFooter>
    <oddHeader>&amp;L&amp;"Montserrat,Fett"&amp;14&amp;K5F5749Cloud Server&amp;R&amp;G</oddHeader>
    <oddFooter>&amp;R&amp;"Montserrat,Standard"&amp;K796F5DAcronum GmbH | Hauptplatz 8c | 7400 Oberwart
www.acronum.com | support@acronum.com | +43 5 9084 888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E48C-E50F-44D7-AF6F-8A0C9256D4BA}">
  <sheetPr codeName="Tabelle14"/>
  <dimension ref="A1:H27"/>
  <sheetViews>
    <sheetView workbookViewId="0">
      <selection activeCell="F24" sqref="F24"/>
    </sheetView>
  </sheetViews>
  <sheetFormatPr baseColWidth="10" defaultRowHeight="15" x14ac:dyDescent="0.25"/>
  <cols>
    <col min="2" max="2" width="32.5703125" bestFit="1" customWidth="1"/>
    <col min="3" max="3" width="6.28515625" style="69" customWidth="1"/>
    <col min="4" max="4" width="12.5703125" bestFit="1" customWidth="1"/>
    <col min="5" max="5" width="11.5703125" bestFit="1" customWidth="1"/>
  </cols>
  <sheetData>
    <row r="1" spans="1:7" ht="18" x14ac:dyDescent="0.35">
      <c r="A1" s="1" t="s">
        <v>115</v>
      </c>
      <c r="B1" s="1"/>
      <c r="C1" s="60"/>
      <c r="D1" s="1"/>
      <c r="E1" s="1"/>
      <c r="F1" s="1"/>
      <c r="G1" s="1"/>
    </row>
    <row r="2" spans="1:7" ht="18" x14ac:dyDescent="0.35">
      <c r="A2" s="1"/>
      <c r="B2" s="1" t="s">
        <v>136</v>
      </c>
      <c r="C2" s="60"/>
      <c r="D2" s="1"/>
      <c r="E2" s="1"/>
      <c r="F2" s="1"/>
      <c r="G2" s="1"/>
    </row>
    <row r="3" spans="1:7" ht="18" x14ac:dyDescent="0.35">
      <c r="A3" s="1"/>
      <c r="B3" s="1"/>
      <c r="C3" s="60"/>
      <c r="D3" s="1" t="s">
        <v>135</v>
      </c>
      <c r="E3" s="1" t="s">
        <v>134</v>
      </c>
      <c r="F3" s="1"/>
      <c r="G3" s="1"/>
    </row>
    <row r="4" spans="1:7" ht="18.75" x14ac:dyDescent="0.35">
      <c r="A4" s="1"/>
      <c r="B4" s="61" t="s">
        <v>2</v>
      </c>
      <c r="C4" s="62" t="str">
        <f>Gesamtkosten!B15</f>
        <v>Nein</v>
      </c>
      <c r="D4" s="63">
        <f>Preise!B42</f>
        <v>127.30000000000001</v>
      </c>
      <c r="E4" s="64">
        <f>IF(C4="Nein",0,D4)</f>
        <v>0</v>
      </c>
      <c r="F4" s="1"/>
      <c r="G4" s="1"/>
    </row>
    <row r="5" spans="1:7" ht="18.75" x14ac:dyDescent="0.35">
      <c r="A5" s="1"/>
      <c r="B5" s="61" t="s">
        <v>4</v>
      </c>
      <c r="C5" s="62">
        <f>Gesamtkosten!B16</f>
        <v>0</v>
      </c>
      <c r="D5" s="63">
        <f>Preise!B43</f>
        <v>127.30000000000001</v>
      </c>
      <c r="E5" s="64">
        <f>C5*D5</f>
        <v>0</v>
      </c>
      <c r="F5" s="1"/>
      <c r="G5" s="1"/>
    </row>
    <row r="6" spans="1:7" ht="18.75" x14ac:dyDescent="0.35">
      <c r="A6" s="1"/>
      <c r="B6" s="61" t="s">
        <v>5</v>
      </c>
      <c r="C6" s="62">
        <f>Gesamtkosten!B17</f>
        <v>0</v>
      </c>
      <c r="D6" s="63">
        <f>Preise!B44</f>
        <v>127.30000000000001</v>
      </c>
      <c r="E6" s="64">
        <f>C6*D6</f>
        <v>0</v>
      </c>
      <c r="F6" s="1"/>
      <c r="G6" s="1"/>
    </row>
    <row r="7" spans="1:7" ht="18.75" x14ac:dyDescent="0.35">
      <c r="A7" s="1"/>
      <c r="B7" s="61" t="s">
        <v>6</v>
      </c>
      <c r="C7" s="62" t="str">
        <f>Gesamtkosten!B18</f>
        <v>Nein</v>
      </c>
      <c r="D7" s="63">
        <f>Preise!B45</f>
        <v>335</v>
      </c>
      <c r="E7" s="64">
        <f>IF(C7="Nein",0,D7)</f>
        <v>0</v>
      </c>
      <c r="F7" s="1"/>
      <c r="G7" s="1"/>
    </row>
    <row r="8" spans="1:7" ht="18" x14ac:dyDescent="0.35">
      <c r="A8" s="1"/>
      <c r="B8" s="1"/>
      <c r="C8" s="60"/>
      <c r="D8" s="1"/>
      <c r="E8" s="1"/>
      <c r="F8" s="1"/>
      <c r="G8" s="1"/>
    </row>
    <row r="9" spans="1:7" ht="18.75" x14ac:dyDescent="0.35">
      <c r="A9" s="1"/>
      <c r="B9" s="61" t="s">
        <v>8</v>
      </c>
      <c r="C9" s="62" t="str">
        <f>Gesamtkosten!B19</f>
        <v>Nein</v>
      </c>
      <c r="D9" s="63">
        <f>Preise!B47</f>
        <v>670</v>
      </c>
      <c r="E9" s="64">
        <f>IF(C9="Nein",0,D9)</f>
        <v>0</v>
      </c>
      <c r="F9" s="1"/>
      <c r="G9" s="1"/>
    </row>
    <row r="10" spans="1:7" ht="18.75" x14ac:dyDescent="0.35">
      <c r="A10" s="1"/>
      <c r="B10" s="61" t="s">
        <v>9</v>
      </c>
      <c r="C10" s="62">
        <f>Gesamtkosten!B20</f>
        <v>0</v>
      </c>
      <c r="D10" s="63">
        <f>Preise!B48</f>
        <v>180.9</v>
      </c>
      <c r="E10" s="64">
        <f>C10*D10</f>
        <v>0</v>
      </c>
      <c r="F10" s="1"/>
      <c r="G10" s="1"/>
    </row>
    <row r="11" spans="1:7" ht="18.75" x14ac:dyDescent="0.35">
      <c r="A11" s="1"/>
      <c r="B11" s="61" t="s">
        <v>10</v>
      </c>
      <c r="C11" s="62">
        <f>Gesamtkosten!B21</f>
        <v>0</v>
      </c>
      <c r="D11" s="63">
        <f>Preise!B49</f>
        <v>180.9</v>
      </c>
      <c r="E11" s="64">
        <f>IF(C11=0,0,D11)</f>
        <v>0</v>
      </c>
      <c r="F11" s="1"/>
      <c r="G11" s="1"/>
    </row>
    <row r="12" spans="1:7" ht="18.75" x14ac:dyDescent="0.35">
      <c r="A12" s="1"/>
      <c r="B12" s="61" t="s">
        <v>137</v>
      </c>
      <c r="C12" s="62">
        <f>Gesamtkosten!B21</f>
        <v>0</v>
      </c>
      <c r="D12" s="63">
        <f>Preise!B50</f>
        <v>6.7</v>
      </c>
      <c r="E12" s="64">
        <f>D12*C12</f>
        <v>0</v>
      </c>
      <c r="F12" s="1"/>
      <c r="G12" s="1"/>
    </row>
    <row r="13" spans="1:7" ht="18.75" x14ac:dyDescent="0.35">
      <c r="A13" s="1"/>
      <c r="B13" s="61" t="s">
        <v>123</v>
      </c>
      <c r="C13" s="62"/>
      <c r="D13" s="65"/>
      <c r="E13" s="64">
        <f>'Add-Ons'!E16</f>
        <v>0</v>
      </c>
      <c r="F13" s="1"/>
      <c r="G13" s="1"/>
    </row>
    <row r="14" spans="1:7" ht="18.75" x14ac:dyDescent="0.35">
      <c r="A14" s="1"/>
      <c r="B14" s="61" t="s">
        <v>124</v>
      </c>
      <c r="C14" s="62"/>
      <c r="D14" s="65"/>
      <c r="E14" s="63">
        <f>Server1!C20</f>
        <v>0</v>
      </c>
      <c r="F14" s="1"/>
      <c r="G14" s="1"/>
    </row>
    <row r="15" spans="1:7" ht="18.75" x14ac:dyDescent="0.35">
      <c r="A15" s="1"/>
      <c r="B15" s="61" t="s">
        <v>125</v>
      </c>
      <c r="C15" s="62"/>
      <c r="D15" s="65"/>
      <c r="E15" s="63">
        <f>Server2!C20</f>
        <v>0</v>
      </c>
      <c r="F15" s="1"/>
      <c r="G15" s="1"/>
    </row>
    <row r="16" spans="1:7" ht="18.75" x14ac:dyDescent="0.35">
      <c r="A16" s="1"/>
      <c r="B16" s="61" t="s">
        <v>126</v>
      </c>
      <c r="C16" s="62"/>
      <c r="D16" s="65"/>
      <c r="E16" s="63">
        <f>Server3!C20</f>
        <v>0</v>
      </c>
      <c r="F16" s="1"/>
      <c r="G16" s="1"/>
    </row>
    <row r="17" spans="1:8" ht="18.75" x14ac:dyDescent="0.35">
      <c r="A17" s="1"/>
      <c r="B17" s="61" t="s">
        <v>127</v>
      </c>
      <c r="C17" s="62"/>
      <c r="D17" s="65"/>
      <c r="E17" s="63">
        <f>Server4!C20</f>
        <v>0</v>
      </c>
      <c r="F17" s="1"/>
      <c r="G17" s="1"/>
    </row>
    <row r="18" spans="1:8" ht="18.75" x14ac:dyDescent="0.35">
      <c r="A18" s="1"/>
      <c r="B18" s="61" t="s">
        <v>128</v>
      </c>
      <c r="C18" s="62"/>
      <c r="D18" s="65"/>
      <c r="E18" s="63">
        <f>Server5!C20</f>
        <v>0</v>
      </c>
      <c r="F18" s="1"/>
      <c r="G18" s="1"/>
      <c r="H18" s="66"/>
    </row>
    <row r="19" spans="1:8" ht="18.75" x14ac:dyDescent="0.35">
      <c r="A19" s="1"/>
      <c r="B19" s="61" t="s">
        <v>129</v>
      </c>
      <c r="C19" s="62"/>
      <c r="D19" s="65"/>
      <c r="E19" s="63">
        <f>Server6!C20</f>
        <v>0</v>
      </c>
      <c r="F19" s="1"/>
      <c r="G19" s="1"/>
    </row>
    <row r="20" spans="1:8" ht="18.75" x14ac:dyDescent="0.35">
      <c r="A20" s="1"/>
      <c r="B20" s="61" t="s">
        <v>130</v>
      </c>
      <c r="C20" s="62"/>
      <c r="D20" s="65"/>
      <c r="E20" s="63">
        <f>Server7!C20</f>
        <v>0</v>
      </c>
      <c r="F20" s="1"/>
      <c r="G20" s="1"/>
    </row>
    <row r="21" spans="1:8" ht="18.75" x14ac:dyDescent="0.35">
      <c r="A21" s="1"/>
      <c r="B21" s="61" t="s">
        <v>131</v>
      </c>
      <c r="C21" s="62"/>
      <c r="D21" s="65"/>
      <c r="E21" s="63">
        <f>Server8!C20</f>
        <v>0</v>
      </c>
      <c r="F21" s="1"/>
      <c r="G21" s="1"/>
    </row>
    <row r="22" spans="1:8" ht="18.75" x14ac:dyDescent="0.35">
      <c r="A22" s="1"/>
      <c r="B22" s="61" t="s">
        <v>132</v>
      </c>
      <c r="C22" s="62"/>
      <c r="D22" s="65"/>
      <c r="E22" s="63">
        <f>Server9!C20</f>
        <v>0</v>
      </c>
      <c r="F22" s="1"/>
      <c r="G22" s="1"/>
    </row>
    <row r="23" spans="1:8" ht="18.75" x14ac:dyDescent="0.35">
      <c r="A23" s="1"/>
      <c r="B23" s="61" t="s">
        <v>133</v>
      </c>
      <c r="C23" s="62"/>
      <c r="D23" s="65"/>
      <c r="E23" s="63">
        <f>Server10!C20</f>
        <v>0</v>
      </c>
      <c r="F23" s="1"/>
      <c r="G23" s="1"/>
    </row>
    <row r="24" spans="1:8" ht="18.75" x14ac:dyDescent="0.35">
      <c r="A24" s="1"/>
      <c r="B24" s="61" t="s">
        <v>7</v>
      </c>
      <c r="C24" s="67"/>
      <c r="D24" s="63">
        <f>Preise!B46</f>
        <v>335</v>
      </c>
      <c r="E24" s="64">
        <f>IF(SUM(E4:E23)&gt;0,D24,0)</f>
        <v>0</v>
      </c>
      <c r="F24" s="1"/>
      <c r="G24" s="1"/>
    </row>
    <row r="25" spans="1:8" ht="18.75" thickBot="1" x14ac:dyDescent="0.4">
      <c r="A25" s="1"/>
      <c r="B25" s="1"/>
      <c r="C25" s="60"/>
      <c r="D25" s="1"/>
      <c r="E25" s="68">
        <f>SUM(E4:E24)</f>
        <v>0</v>
      </c>
      <c r="F25" s="1"/>
      <c r="G25" s="1"/>
    </row>
    <row r="26" spans="1:8" ht="18.75" thickTop="1" x14ac:dyDescent="0.35">
      <c r="A26" s="1"/>
      <c r="B26" s="1"/>
      <c r="C26" s="60"/>
      <c r="D26" s="1"/>
      <c r="E26" s="1"/>
      <c r="F26" s="1"/>
      <c r="G26" s="1"/>
    </row>
    <row r="27" spans="1:8" ht="18" x14ac:dyDescent="0.35">
      <c r="A27" s="1"/>
      <c r="B27" s="1"/>
      <c r="C27" s="60"/>
      <c r="D27" s="1"/>
      <c r="E27" s="1"/>
      <c r="F27" s="1"/>
      <c r="G27" s="1"/>
    </row>
  </sheetData>
  <sheetProtection selectLockedCells="1" selectUnlockedCells="1"/>
  <phoneticPr fontId="4" type="noConversion"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F909-22E8-42CB-903D-AECC571C16C0}">
  <sheetPr codeName="Tabelle15"/>
  <dimension ref="A2:E50"/>
  <sheetViews>
    <sheetView topLeftCell="A7" zoomScaleNormal="100" workbookViewId="0">
      <selection activeCell="F24" sqref="F24"/>
    </sheetView>
  </sheetViews>
  <sheetFormatPr baseColWidth="10" defaultColWidth="10.7109375" defaultRowHeight="18" x14ac:dyDescent="0.35"/>
  <cols>
    <col min="1" max="1" width="62.7109375" style="1" customWidth="1"/>
    <col min="2" max="2" width="26.42578125" style="1" customWidth="1"/>
    <col min="3" max="3" width="16.140625" style="1" bestFit="1" customWidth="1"/>
    <col min="4" max="4" width="15.42578125" style="48" bestFit="1" customWidth="1"/>
    <col min="5" max="5" width="12.28515625" style="1" bestFit="1" customWidth="1"/>
    <col min="6" max="16384" width="10.7109375" style="1"/>
  </cols>
  <sheetData>
    <row r="2" spans="1:4" x14ac:dyDescent="0.35">
      <c r="A2" s="65" t="s">
        <v>61</v>
      </c>
      <c r="B2" s="65"/>
      <c r="C2" s="65"/>
      <c r="D2" s="76">
        <v>0.34</v>
      </c>
    </row>
    <row r="3" spans="1:4" x14ac:dyDescent="0.35">
      <c r="A3" s="65" t="s">
        <v>62</v>
      </c>
      <c r="B3" s="65"/>
      <c r="C3" s="65"/>
      <c r="D3" s="77">
        <f>'interne Kalkulation'!B18</f>
        <v>57</v>
      </c>
    </row>
    <row r="4" spans="1:4" x14ac:dyDescent="0.35">
      <c r="A4" s="65" t="s">
        <v>140</v>
      </c>
      <c r="B4" s="65"/>
      <c r="C4" s="65"/>
      <c r="D4" s="78">
        <v>4000</v>
      </c>
    </row>
    <row r="5" spans="1:4" x14ac:dyDescent="0.35">
      <c r="A5" s="65" t="s">
        <v>141</v>
      </c>
      <c r="B5" s="65"/>
      <c r="C5" s="65"/>
      <c r="D5" s="78">
        <v>305</v>
      </c>
    </row>
    <row r="6" spans="1:4" x14ac:dyDescent="0.35">
      <c r="A6" s="65"/>
      <c r="B6" s="65"/>
      <c r="C6" s="65"/>
      <c r="D6" s="65"/>
    </row>
    <row r="7" spans="1:4" x14ac:dyDescent="0.35">
      <c r="A7" s="49"/>
      <c r="B7" s="49" t="s">
        <v>64</v>
      </c>
      <c r="C7" s="49" t="s">
        <v>65</v>
      </c>
      <c r="D7" s="79" t="s">
        <v>63</v>
      </c>
    </row>
    <row r="8" spans="1:4" x14ac:dyDescent="0.35">
      <c r="A8" s="65" t="s">
        <v>66</v>
      </c>
      <c r="B8" s="80">
        <f>C8</f>
        <v>101.08771929824562</v>
      </c>
      <c r="C8" s="80">
        <f>D8*(1+$D$2)</f>
        <v>101.08771929824562</v>
      </c>
      <c r="D8" s="81">
        <f>'interne Kalkulation'!B23</f>
        <v>75.438596491228068</v>
      </c>
    </row>
    <row r="9" spans="1:4" x14ac:dyDescent="0.35">
      <c r="A9" s="65" t="s">
        <v>67</v>
      </c>
      <c r="B9" s="80">
        <v>7.37</v>
      </c>
      <c r="C9" s="80">
        <f t="shared" ref="C9:C37" si="0">D9*(1+$D$2)</f>
        <v>6.954600000000001</v>
      </c>
      <c r="D9" s="64">
        <v>5.19</v>
      </c>
    </row>
    <row r="10" spans="1:4" x14ac:dyDescent="0.35">
      <c r="A10" s="65" t="s">
        <v>156</v>
      </c>
      <c r="B10" s="80">
        <f t="shared" ref="B10:B35" si="1">C10</f>
        <v>9.2325999999999997</v>
      </c>
      <c r="C10" s="80">
        <f t="shared" si="0"/>
        <v>9.2325999999999997</v>
      </c>
      <c r="D10" s="64">
        <v>6.89</v>
      </c>
    </row>
    <row r="11" spans="1:4" x14ac:dyDescent="0.35">
      <c r="A11" s="65" t="s">
        <v>161</v>
      </c>
      <c r="B11" s="80">
        <v>1.39</v>
      </c>
      <c r="C11" s="80">
        <f t="shared" si="0"/>
        <v>1.4204000000000001</v>
      </c>
      <c r="D11" s="64">
        <v>1.06</v>
      </c>
    </row>
    <row r="12" spans="1:4" x14ac:dyDescent="0.35">
      <c r="A12" s="65" t="s">
        <v>68</v>
      </c>
      <c r="B12" s="80">
        <v>214.4</v>
      </c>
      <c r="C12" s="80">
        <f t="shared" si="0"/>
        <v>189.8244</v>
      </c>
      <c r="D12" s="64">
        <v>141.66</v>
      </c>
    </row>
    <row r="13" spans="1:4" x14ac:dyDescent="0.35">
      <c r="A13" s="65" t="s">
        <v>69</v>
      </c>
      <c r="B13" s="80">
        <v>16.2</v>
      </c>
      <c r="C13" s="80">
        <f t="shared" si="0"/>
        <v>9.7552000000000003</v>
      </c>
      <c r="D13" s="64">
        <v>7.28</v>
      </c>
    </row>
    <row r="14" spans="1:4" x14ac:dyDescent="0.35">
      <c r="A14" s="65" t="s">
        <v>70</v>
      </c>
      <c r="B14" s="80">
        <f t="shared" si="1"/>
        <v>12.635964912280702</v>
      </c>
      <c r="C14" s="80">
        <f t="shared" si="0"/>
        <v>12.635964912280702</v>
      </c>
      <c r="D14" s="81">
        <f>'interne Kalkulation'!B26</f>
        <v>9.4298245614035086</v>
      </c>
    </row>
    <row r="15" spans="1:4" x14ac:dyDescent="0.35">
      <c r="A15" s="65" t="s">
        <v>71</v>
      </c>
      <c r="B15" s="80">
        <f t="shared" si="1"/>
        <v>25.271929824561404</v>
      </c>
      <c r="C15" s="80">
        <f t="shared" si="0"/>
        <v>25.271929824561404</v>
      </c>
      <c r="D15" s="81">
        <f>'interne Kalkulation'!B25</f>
        <v>18.859649122807017</v>
      </c>
    </row>
    <row r="16" spans="1:4" x14ac:dyDescent="0.35">
      <c r="A16" s="65" t="s">
        <v>72</v>
      </c>
      <c r="B16" s="80">
        <v>0.35</v>
      </c>
      <c r="C16" s="80">
        <f t="shared" si="0"/>
        <v>0.25459999999999999</v>
      </c>
      <c r="D16" s="64">
        <v>0.19</v>
      </c>
    </row>
    <row r="17" spans="1:5" x14ac:dyDescent="0.35">
      <c r="A17" s="65" t="s">
        <v>73</v>
      </c>
      <c r="B17" s="80">
        <v>0.1</v>
      </c>
      <c r="C17" s="80">
        <f t="shared" si="0"/>
        <v>6.7000000000000004E-2</v>
      </c>
      <c r="D17" s="64">
        <v>0.05</v>
      </c>
    </row>
    <row r="18" spans="1:5" x14ac:dyDescent="0.35">
      <c r="A18" s="65" t="s">
        <v>74</v>
      </c>
      <c r="B18" s="80">
        <f t="shared" si="1"/>
        <v>6.7000000000000004E-2</v>
      </c>
      <c r="C18" s="80">
        <f t="shared" si="0"/>
        <v>6.7000000000000004E-2</v>
      </c>
      <c r="D18" s="64">
        <v>0.05</v>
      </c>
    </row>
    <row r="19" spans="1:5" x14ac:dyDescent="0.35">
      <c r="A19" s="65" t="s">
        <v>75</v>
      </c>
      <c r="B19" s="80">
        <f t="shared" si="1"/>
        <v>20.100000000000001</v>
      </c>
      <c r="C19" s="80">
        <f t="shared" si="0"/>
        <v>20.100000000000001</v>
      </c>
      <c r="D19" s="64">
        <v>15</v>
      </c>
    </row>
    <row r="20" spans="1:5" x14ac:dyDescent="0.35">
      <c r="A20" s="65" t="s">
        <v>76</v>
      </c>
      <c r="B20" s="80">
        <f t="shared" si="1"/>
        <v>67</v>
      </c>
      <c r="C20" s="80">
        <f t="shared" si="0"/>
        <v>67</v>
      </c>
      <c r="D20" s="64">
        <v>50</v>
      </c>
    </row>
    <row r="21" spans="1:5" x14ac:dyDescent="0.35">
      <c r="A21" s="65" t="s">
        <v>77</v>
      </c>
      <c r="B21" s="80">
        <v>3.3</v>
      </c>
      <c r="C21" s="80">
        <f t="shared" si="0"/>
        <v>1.34</v>
      </c>
      <c r="D21" s="64">
        <v>1</v>
      </c>
    </row>
    <row r="22" spans="1:5" x14ac:dyDescent="0.35">
      <c r="A22" s="65" t="s">
        <v>78</v>
      </c>
      <c r="B22" s="80">
        <v>39.9</v>
      </c>
      <c r="C22" s="80">
        <f t="shared" si="0"/>
        <v>35.850877192982459</v>
      </c>
      <c r="D22" s="80">
        <f>D5/D3*5</f>
        <v>26.754385964912281</v>
      </c>
      <c r="E22" s="48"/>
    </row>
    <row r="23" spans="1:5" x14ac:dyDescent="0.35">
      <c r="A23" s="65" t="s">
        <v>9</v>
      </c>
      <c r="B23" s="80">
        <f t="shared" si="1"/>
        <v>18.760000000000002</v>
      </c>
      <c r="C23" s="80">
        <f t="shared" si="0"/>
        <v>18.760000000000002</v>
      </c>
      <c r="D23" s="64">
        <v>14</v>
      </c>
    </row>
    <row r="24" spans="1:5" x14ac:dyDescent="0.35">
      <c r="A24" s="65" t="s">
        <v>10</v>
      </c>
      <c r="B24" s="80">
        <f t="shared" si="1"/>
        <v>3.35</v>
      </c>
      <c r="C24" s="80">
        <f t="shared" si="0"/>
        <v>3.35</v>
      </c>
      <c r="D24" s="64">
        <v>2.5</v>
      </c>
    </row>
    <row r="25" spans="1:5" x14ac:dyDescent="0.35">
      <c r="A25" s="65" t="s">
        <v>111</v>
      </c>
      <c r="B25" s="80">
        <f t="shared" si="1"/>
        <v>12.06</v>
      </c>
      <c r="C25" s="80">
        <f t="shared" si="0"/>
        <v>12.06</v>
      </c>
      <c r="D25" s="82">
        <v>9</v>
      </c>
    </row>
    <row r="26" spans="1:5" x14ac:dyDescent="0.35">
      <c r="A26" s="65" t="s">
        <v>79</v>
      </c>
      <c r="B26" s="80">
        <v>12.06</v>
      </c>
      <c r="C26" s="80">
        <f t="shared" si="0"/>
        <v>12.06</v>
      </c>
      <c r="D26" s="82">
        <v>9</v>
      </c>
    </row>
    <row r="27" spans="1:5" x14ac:dyDescent="0.35">
      <c r="A27" s="65" t="s">
        <v>80</v>
      </c>
      <c r="B27" s="80">
        <v>8.5</v>
      </c>
      <c r="C27" s="80">
        <f t="shared" si="0"/>
        <v>3.35</v>
      </c>
      <c r="D27" s="64">
        <v>2.5</v>
      </c>
    </row>
    <row r="28" spans="1:5" x14ac:dyDescent="0.35">
      <c r="A28" s="65" t="s">
        <v>8</v>
      </c>
      <c r="B28" s="80">
        <f t="shared" si="1"/>
        <v>402</v>
      </c>
      <c r="C28" s="80">
        <f t="shared" si="0"/>
        <v>402</v>
      </c>
      <c r="D28" s="64">
        <v>300</v>
      </c>
    </row>
    <row r="29" spans="1:5" x14ac:dyDescent="0.35">
      <c r="A29" s="65" t="s">
        <v>81</v>
      </c>
      <c r="B29" s="80">
        <f t="shared" si="1"/>
        <v>844.2</v>
      </c>
      <c r="C29" s="80">
        <f t="shared" si="0"/>
        <v>844.2</v>
      </c>
      <c r="D29" s="64">
        <v>630</v>
      </c>
    </row>
    <row r="30" spans="1:5" x14ac:dyDescent="0.35">
      <c r="A30" s="65" t="s">
        <v>82</v>
      </c>
      <c r="B30" s="80">
        <v>35</v>
      </c>
      <c r="C30" s="80">
        <f t="shared" si="0"/>
        <v>20.100000000000001</v>
      </c>
      <c r="D30" s="64">
        <v>15</v>
      </c>
    </row>
    <row r="31" spans="1:5" ht="36" x14ac:dyDescent="0.35">
      <c r="A31" s="83" t="s">
        <v>112</v>
      </c>
      <c r="B31" s="80">
        <v>0.13</v>
      </c>
      <c r="C31" s="80">
        <f t="shared" si="0"/>
        <v>9.3800000000000008E-2</v>
      </c>
      <c r="D31" s="64">
        <v>7.0000000000000007E-2</v>
      </c>
    </row>
    <row r="32" spans="1:5" x14ac:dyDescent="0.35">
      <c r="A32" s="65" t="s">
        <v>84</v>
      </c>
      <c r="B32" s="80">
        <v>4.2</v>
      </c>
      <c r="C32" s="80">
        <f t="shared" si="0"/>
        <v>3.6180000000000003</v>
      </c>
      <c r="D32" s="64">
        <v>2.7</v>
      </c>
    </row>
    <row r="33" spans="1:4" x14ac:dyDescent="0.35">
      <c r="A33" s="65" t="s">
        <v>85</v>
      </c>
      <c r="B33" s="80">
        <f t="shared" si="1"/>
        <v>3.35</v>
      </c>
      <c r="C33" s="80">
        <f t="shared" si="0"/>
        <v>3.35</v>
      </c>
      <c r="D33" s="64">
        <v>2.5</v>
      </c>
    </row>
    <row r="34" spans="1:4" x14ac:dyDescent="0.35">
      <c r="A34" s="65" t="s">
        <v>50</v>
      </c>
      <c r="B34" s="80">
        <f t="shared" si="1"/>
        <v>160.80000000000001</v>
      </c>
      <c r="C34" s="80">
        <f t="shared" si="0"/>
        <v>160.80000000000001</v>
      </c>
      <c r="D34" s="64">
        <v>120</v>
      </c>
    </row>
    <row r="35" spans="1:4" x14ac:dyDescent="0.35">
      <c r="A35" s="65" t="s">
        <v>51</v>
      </c>
      <c r="B35" s="80">
        <f t="shared" si="1"/>
        <v>160.80000000000001</v>
      </c>
      <c r="C35" s="80">
        <f t="shared" si="0"/>
        <v>160.80000000000001</v>
      </c>
      <c r="D35" s="64">
        <v>120</v>
      </c>
    </row>
    <row r="36" spans="1:4" x14ac:dyDescent="0.35">
      <c r="A36" s="65" t="s">
        <v>86</v>
      </c>
      <c r="B36" s="80">
        <v>180</v>
      </c>
      <c r="C36" s="80">
        <f t="shared" si="0"/>
        <v>160.80000000000001</v>
      </c>
      <c r="D36" s="64">
        <v>120</v>
      </c>
    </row>
    <row r="37" spans="1:4" x14ac:dyDescent="0.35">
      <c r="A37" s="65" t="s">
        <v>87</v>
      </c>
      <c r="B37" s="80">
        <v>6.7</v>
      </c>
      <c r="C37" s="80">
        <f t="shared" si="0"/>
        <v>0</v>
      </c>
      <c r="D37" s="64">
        <v>0</v>
      </c>
    </row>
    <row r="38" spans="1:4" x14ac:dyDescent="0.35">
      <c r="A38" s="65" t="s">
        <v>38</v>
      </c>
      <c r="B38" s="80">
        <v>4.2</v>
      </c>
      <c r="C38" s="80">
        <f>D38*(1+$D$2)</f>
        <v>0</v>
      </c>
      <c r="D38" s="64">
        <v>0</v>
      </c>
    </row>
    <row r="39" spans="1:4" x14ac:dyDescent="0.35">
      <c r="A39" s="65" t="s">
        <v>109</v>
      </c>
      <c r="B39" s="80">
        <f>C39</f>
        <v>2.7872000000000003</v>
      </c>
      <c r="C39" s="80">
        <f>D39*(1+$D$2)</f>
        <v>2.7872000000000003</v>
      </c>
      <c r="D39" s="64">
        <v>2.08</v>
      </c>
    </row>
    <row r="40" spans="1:4" x14ac:dyDescent="0.35">
      <c r="A40" s="65" t="s">
        <v>107</v>
      </c>
      <c r="B40" s="80">
        <f t="shared" ref="B40" si="2">C40</f>
        <v>6.7</v>
      </c>
      <c r="C40" s="80">
        <f>D40*(1+$D$2)</f>
        <v>6.7</v>
      </c>
      <c r="D40" s="82">
        <v>5</v>
      </c>
    </row>
    <row r="41" spans="1:4" x14ac:dyDescent="0.35">
      <c r="A41" s="65" t="s">
        <v>108</v>
      </c>
      <c r="B41" s="80">
        <f t="shared" ref="B41:B49" si="3">C41</f>
        <v>13400</v>
      </c>
      <c r="C41" s="80">
        <f t="shared" ref="C41:C49" si="4">D41*(1+$D$2)</f>
        <v>13400</v>
      </c>
      <c r="D41" s="82">
        <v>10000</v>
      </c>
    </row>
    <row r="42" spans="1:4" x14ac:dyDescent="0.35">
      <c r="A42" s="65" t="s">
        <v>116</v>
      </c>
      <c r="B42" s="80">
        <f t="shared" si="3"/>
        <v>127.30000000000001</v>
      </c>
      <c r="C42" s="80">
        <f t="shared" si="4"/>
        <v>127.30000000000001</v>
      </c>
      <c r="D42" s="65">
        <v>95</v>
      </c>
    </row>
    <row r="43" spans="1:4" x14ac:dyDescent="0.35">
      <c r="A43" s="65" t="s">
        <v>163</v>
      </c>
      <c r="B43" s="80">
        <f t="shared" si="3"/>
        <v>127.30000000000001</v>
      </c>
      <c r="C43" s="80">
        <f t="shared" si="4"/>
        <v>127.30000000000001</v>
      </c>
      <c r="D43" s="65">
        <v>95</v>
      </c>
    </row>
    <row r="44" spans="1:4" x14ac:dyDescent="0.35">
      <c r="A44" s="65" t="s">
        <v>117</v>
      </c>
      <c r="B44" s="80">
        <f t="shared" si="3"/>
        <v>127.30000000000001</v>
      </c>
      <c r="C44" s="80">
        <f t="shared" si="4"/>
        <v>127.30000000000001</v>
      </c>
      <c r="D44" s="65">
        <v>95</v>
      </c>
    </row>
    <row r="45" spans="1:4" x14ac:dyDescent="0.35">
      <c r="A45" s="65" t="s">
        <v>118</v>
      </c>
      <c r="B45" s="80">
        <f t="shared" si="3"/>
        <v>335</v>
      </c>
      <c r="C45" s="80">
        <f t="shared" si="4"/>
        <v>335</v>
      </c>
      <c r="D45" s="65">
        <v>250</v>
      </c>
    </row>
    <row r="46" spans="1:4" x14ac:dyDescent="0.35">
      <c r="A46" s="65" t="s">
        <v>119</v>
      </c>
      <c r="B46" s="80">
        <f t="shared" si="3"/>
        <v>335</v>
      </c>
      <c r="C46" s="80">
        <f t="shared" si="4"/>
        <v>335</v>
      </c>
      <c r="D46" s="65">
        <v>250</v>
      </c>
    </row>
    <row r="47" spans="1:4" x14ac:dyDescent="0.35">
      <c r="A47" s="65" t="s">
        <v>120</v>
      </c>
      <c r="B47" s="80">
        <f t="shared" si="3"/>
        <v>670</v>
      </c>
      <c r="C47" s="80">
        <f t="shared" si="4"/>
        <v>670</v>
      </c>
      <c r="D47" s="65">
        <v>500</v>
      </c>
    </row>
    <row r="48" spans="1:4" x14ac:dyDescent="0.35">
      <c r="A48" s="65" t="s">
        <v>121</v>
      </c>
      <c r="B48" s="80">
        <f t="shared" si="3"/>
        <v>180.9</v>
      </c>
      <c r="C48" s="80">
        <f t="shared" si="4"/>
        <v>180.9</v>
      </c>
      <c r="D48" s="65">
        <v>135</v>
      </c>
    </row>
    <row r="49" spans="1:4" x14ac:dyDescent="0.35">
      <c r="A49" s="65" t="s">
        <v>122</v>
      </c>
      <c r="B49" s="80">
        <f t="shared" si="3"/>
        <v>180.9</v>
      </c>
      <c r="C49" s="80">
        <f t="shared" si="4"/>
        <v>180.9</v>
      </c>
      <c r="D49" s="65">
        <v>135</v>
      </c>
    </row>
    <row r="50" spans="1:4" x14ac:dyDescent="0.35">
      <c r="A50" s="65" t="s">
        <v>138</v>
      </c>
      <c r="B50" s="80">
        <f t="shared" ref="B50" si="5">C50</f>
        <v>6.7</v>
      </c>
      <c r="C50" s="80">
        <f t="shared" ref="C50" si="6">D50*(1+$D$2)</f>
        <v>6.7</v>
      </c>
      <c r="D50" s="65">
        <v>5</v>
      </c>
    </row>
  </sheetData>
  <sheetProtection selectLockedCells="1" selectUnlockedCells="1"/>
  <pageMargins left="0.7" right="0.7" top="0.78740157499999996" bottom="0.78740157499999996" header="0.3" footer="0.3"/>
  <pageSetup paperSize="9" orientation="landscape" r:id="rId1"/>
  <headerFooter>
    <oddFooter>&amp;R&amp;"Montserrat,Standard"&amp;K5F5748Acronum GmbH | Hauptplatz 8c | 7400 Oberwart
www.acronum.com | support@acronum.com | +43 5 9084 888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A8EB-E750-4280-8283-18C4A108402A}">
  <sheetPr codeName="Tabelle16"/>
  <dimension ref="A3:E26"/>
  <sheetViews>
    <sheetView view="pageLayout" zoomScaleNormal="100" workbookViewId="0">
      <selection activeCell="F24" sqref="F24"/>
    </sheetView>
  </sheetViews>
  <sheetFormatPr baseColWidth="10" defaultColWidth="10.7109375" defaultRowHeight="18" x14ac:dyDescent="0.35"/>
  <cols>
    <col min="1" max="1" width="23.7109375" style="1" bestFit="1" customWidth="1"/>
    <col min="2" max="2" width="14.7109375" style="1" bestFit="1" customWidth="1"/>
    <col min="3" max="3" width="10.85546875" style="1" bestFit="1" customWidth="1"/>
    <col min="4" max="4" width="7.28515625" style="1" customWidth="1"/>
    <col min="5" max="5" width="7.85546875" style="1" customWidth="1"/>
    <col min="6" max="16384" width="10.7109375" style="1"/>
  </cols>
  <sheetData>
    <row r="3" spans="1:5" x14ac:dyDescent="0.35">
      <c r="A3" s="65" t="s">
        <v>88</v>
      </c>
      <c r="B3" s="70">
        <v>3</v>
      </c>
      <c r="C3" s="65"/>
      <c r="D3" s="65" t="s">
        <v>89</v>
      </c>
      <c r="E3" s="65"/>
    </row>
    <row r="4" spans="1:5" x14ac:dyDescent="0.35">
      <c r="A4" s="65" t="s">
        <v>90</v>
      </c>
      <c r="B4" s="70">
        <v>48</v>
      </c>
      <c r="C4" s="71">
        <f>B4*(B3-1)</f>
        <v>96</v>
      </c>
      <c r="D4" s="70">
        <v>4</v>
      </c>
      <c r="E4" s="71">
        <f>D4*C4</f>
        <v>384</v>
      </c>
    </row>
    <row r="5" spans="1:5" x14ac:dyDescent="0.35">
      <c r="A5" s="65" t="s">
        <v>44</v>
      </c>
      <c r="B5" s="70">
        <f>16*32</f>
        <v>512</v>
      </c>
      <c r="C5" s="71">
        <f>B5*(B3-1)</f>
        <v>1024</v>
      </c>
      <c r="D5" s="70">
        <v>2</v>
      </c>
      <c r="E5" s="71">
        <f>D5*C5</f>
        <v>2048</v>
      </c>
    </row>
    <row r="11" spans="1:5" x14ac:dyDescent="0.35">
      <c r="A11" s="65" t="s">
        <v>91</v>
      </c>
      <c r="B11" s="65"/>
    </row>
    <row r="12" spans="1:5" x14ac:dyDescent="0.35">
      <c r="A12" s="65" t="s">
        <v>92</v>
      </c>
      <c r="B12" s="72">
        <v>4</v>
      </c>
    </row>
    <row r="13" spans="1:5" x14ac:dyDescent="0.35">
      <c r="A13" s="65" t="s">
        <v>70</v>
      </c>
      <c r="B13" s="72">
        <v>8</v>
      </c>
    </row>
    <row r="16" spans="1:5" x14ac:dyDescent="0.35">
      <c r="A16" s="65" t="s">
        <v>93</v>
      </c>
      <c r="B16" s="65"/>
    </row>
    <row r="17" spans="1:2" x14ac:dyDescent="0.35">
      <c r="A17" s="65" t="s">
        <v>94</v>
      </c>
      <c r="B17" s="73">
        <v>0.4</v>
      </c>
    </row>
    <row r="18" spans="1:2" x14ac:dyDescent="0.35">
      <c r="A18" s="65" t="s">
        <v>95</v>
      </c>
      <c r="B18" s="74">
        <f>ROUNDDOWN(E4/B12-E4/B12*B17,0)</f>
        <v>57</v>
      </c>
    </row>
    <row r="19" spans="1:2" x14ac:dyDescent="0.35">
      <c r="A19" s="65" t="s">
        <v>96</v>
      </c>
      <c r="B19" s="74">
        <f>ROUNDDOWN(E5/B13 - E5/B13*B17,0)</f>
        <v>153</v>
      </c>
    </row>
    <row r="22" spans="1:2" x14ac:dyDescent="0.35">
      <c r="A22" s="65" t="s">
        <v>97</v>
      </c>
      <c r="B22" s="64">
        <v>4300</v>
      </c>
    </row>
    <row r="23" spans="1:2" x14ac:dyDescent="0.35">
      <c r="A23" s="65" t="s">
        <v>98</v>
      </c>
      <c r="B23" s="75">
        <f>IF(B18&lt;B19,B22/B18,B22/B19)</f>
        <v>75.438596491228068</v>
      </c>
    </row>
    <row r="24" spans="1:2" x14ac:dyDescent="0.35">
      <c r="B24" s="48"/>
    </row>
    <row r="25" spans="1:2" x14ac:dyDescent="0.35">
      <c r="A25" s="65" t="s">
        <v>99</v>
      </c>
      <c r="B25" s="75">
        <f>B23/B12</f>
        <v>18.859649122807017</v>
      </c>
    </row>
    <row r="26" spans="1:2" x14ac:dyDescent="0.35">
      <c r="A26" s="65" t="s">
        <v>100</v>
      </c>
      <c r="B26" s="75">
        <f>B23/B13</f>
        <v>9.4298245614035086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5c7cb8-e918-4242-afaf-fb275ce0480b" xsi:nil="true"/>
    <lcf76f155ced4ddcb4097134ff3c332f xmlns="e7e5e89e-8cc1-47b4-b5f4-d82f0bcfca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D6E485FFC0E54888390BDC37579060" ma:contentTypeVersion="12" ma:contentTypeDescription="Ein neues Dokument erstellen." ma:contentTypeScope="" ma:versionID="52b00fb2e7474f027e274ba869273f9a">
  <xsd:schema xmlns:xsd="http://www.w3.org/2001/XMLSchema" xmlns:xs="http://www.w3.org/2001/XMLSchema" xmlns:p="http://schemas.microsoft.com/office/2006/metadata/properties" xmlns:ns2="e7e5e89e-8cc1-47b4-b5f4-d82f0bcfca80" xmlns:ns3="fe5c7cb8-e918-4242-afaf-fb275ce0480b" targetNamespace="http://schemas.microsoft.com/office/2006/metadata/properties" ma:root="true" ma:fieldsID="0671835d5dbf4a7a9ff1f26d7c1ae00b" ns2:_="" ns3:_="">
    <xsd:import namespace="e7e5e89e-8cc1-47b4-b5f4-d82f0bcfca80"/>
    <xsd:import namespace="fe5c7cb8-e918-4242-afaf-fb275ce04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5e89e-8cc1-47b4-b5f4-d82f0bcfc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f1e77126-ec3e-4b0a-8f9e-50c90dc7cd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c7cb8-e918-4242-afaf-fb275ce0480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115328-207a-4c7e-8c9a-2c9c5c302723}" ma:internalName="TaxCatchAll" ma:showField="CatchAllData" ma:web="fe5c7cb8-e918-4242-afaf-fb275ce04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1A6B9B-A168-4D7F-8218-38CAE259A387}">
  <ds:schemaRefs>
    <ds:schemaRef ds:uri="http://purl.org/dc/dcmitype/"/>
    <ds:schemaRef ds:uri="http://purl.org/dc/elements/1.1/"/>
    <ds:schemaRef ds:uri="fe5c7cb8-e918-4242-afaf-fb275ce0480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e7e5e89e-8cc1-47b4-b5f4-d82f0bcfca80"/>
  </ds:schemaRefs>
</ds:datastoreItem>
</file>

<file path=customXml/itemProps2.xml><?xml version="1.0" encoding="utf-8"?>
<ds:datastoreItem xmlns:ds="http://schemas.openxmlformats.org/officeDocument/2006/customXml" ds:itemID="{0296527B-D796-4358-A41C-6AC166657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5e89e-8cc1-47b4-b5f4-d82f0bcfca80"/>
    <ds:schemaRef ds:uri="fe5c7cb8-e918-4242-afaf-fb275ce04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015F20-9981-4809-B946-3642EDFC24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24</vt:i4>
      </vt:variant>
    </vt:vector>
  </HeadingPairs>
  <TitlesOfParts>
    <vt:vector size="40" baseType="lpstr">
      <vt:lpstr>Gesamtkosten</vt:lpstr>
      <vt:lpstr>SLA Matrix</vt:lpstr>
      <vt:lpstr>Add-Ons</vt:lpstr>
      <vt:lpstr>Server1</vt:lpstr>
      <vt:lpstr>Server2</vt:lpstr>
      <vt:lpstr>Server3</vt:lpstr>
      <vt:lpstr>Server4</vt:lpstr>
      <vt:lpstr>Server5</vt:lpstr>
      <vt:lpstr>Server6</vt:lpstr>
      <vt:lpstr>Server7</vt:lpstr>
      <vt:lpstr>Server8</vt:lpstr>
      <vt:lpstr>Server9</vt:lpstr>
      <vt:lpstr>Server10</vt:lpstr>
      <vt:lpstr>Zwischen Rechnung Setupkosten</vt:lpstr>
      <vt:lpstr>Preise</vt:lpstr>
      <vt:lpstr>interne Kalkulation</vt:lpstr>
      <vt:lpstr>CPU</vt:lpstr>
      <vt:lpstr>Server10!CPUs</vt:lpstr>
      <vt:lpstr>Server2!CPUs</vt:lpstr>
      <vt:lpstr>Server3!CPUs</vt:lpstr>
      <vt:lpstr>Server4!CPUs</vt:lpstr>
      <vt:lpstr>Server5!CPUs</vt:lpstr>
      <vt:lpstr>Server6!CPUs</vt:lpstr>
      <vt:lpstr>Server7!CPUs</vt:lpstr>
      <vt:lpstr>Server8!CPUs</vt:lpstr>
      <vt:lpstr>Server9!CPUs</vt:lpstr>
      <vt:lpstr>CPUs</vt:lpstr>
      <vt:lpstr>Server10!eee</vt:lpstr>
      <vt:lpstr>Server2!eee</vt:lpstr>
      <vt:lpstr>Server3!eee</vt:lpstr>
      <vt:lpstr>Server4!eee</vt:lpstr>
      <vt:lpstr>Server5!eee</vt:lpstr>
      <vt:lpstr>Server6!eee</vt:lpstr>
      <vt:lpstr>Server7!eee</vt:lpstr>
      <vt:lpstr>Server8!eee</vt:lpstr>
      <vt:lpstr>Server9!eee</vt:lpstr>
      <vt:lpstr>eee</vt:lpstr>
      <vt:lpstr>RAM</vt:lpstr>
      <vt:lpstr>stdCPUs</vt:lpstr>
      <vt:lpstr>stdRAM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Abzieher-Kanai &lt;/Select-IT&gt;</dc:creator>
  <cp:keywords/>
  <dc:description/>
  <cp:lastModifiedBy>Ing. Roman Cziszer | Acronum GmbH</cp:lastModifiedBy>
  <cp:revision/>
  <cp:lastPrinted>2024-07-04T14:17:50Z</cp:lastPrinted>
  <dcterms:created xsi:type="dcterms:W3CDTF">2024-05-15T12:54:35Z</dcterms:created>
  <dcterms:modified xsi:type="dcterms:W3CDTF">2026-05-27T16:48:18Z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0x01010094D6E485FFC0E54888390BDC37579060</vt:lpwstr>
  </property>
  <property fmtid="{D5CDD505-2E9C-101B-9397-08002B2CF9AE}" pid="3" name="MediaServiceImageTags">
    <vt:lpwstr/>
  </property>
</Properties>
</file>